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3.xml" ContentType="application/vnd.openxmlformats-officedocument.drawing+xml"/>
  <Override PartName="/xl/worksheets/sheet6.xml" ContentType="application/vnd.openxmlformats-officedocument.spreadsheetml.worksheet+xml"/>
  <Override PartName="/xl/drawings/drawing14.xml" ContentType="application/vnd.openxmlformats-officedocument.drawing+xml"/>
  <Override PartName="/xl/worksheets/sheet7.xml" ContentType="application/vnd.openxmlformats-officedocument.spreadsheetml.worksheet+xml"/>
  <Override PartName="/xl/drawings/drawing15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20.xml" ContentType="application/vnd.openxmlformats-officedocument.drawing+xml"/>
  <Override PartName="/xl/worksheets/sheet10.xml" ContentType="application/vnd.openxmlformats-officedocument.spreadsheetml.worksheet+xml"/>
  <Override PartName="/xl/drawings/drawing24.xml" ContentType="application/vnd.openxmlformats-officedocument.drawing+xml"/>
  <Override PartName="/xl/worksheets/sheet11.xml" ContentType="application/vnd.openxmlformats-officedocument.spreadsheetml.worksheet+xml"/>
  <Override PartName="/xl/drawings/drawing25.xml" ContentType="application/vnd.openxmlformats-officedocument.drawing+xml"/>
  <Override PartName="/xl/worksheets/sheet12.xml" ContentType="application/vnd.openxmlformats-officedocument.spreadsheetml.worksheet+xml"/>
  <Override PartName="/xl/drawings/drawing26.xml" ContentType="application/vnd.openxmlformats-officedocument.drawing+xml"/>
  <Override PartName="/xl/worksheets/sheet13.xml" ContentType="application/vnd.openxmlformats-officedocument.spreadsheetml.worksheet+xml"/>
  <Override PartName="/xl/drawings/drawing27.xml" ContentType="application/vnd.openxmlformats-officedocument.drawing+xml"/>
  <Override PartName="/xl/worksheets/sheet14.xml" ContentType="application/vnd.openxmlformats-officedocument.spreadsheetml.worksheet+xml"/>
  <Override PartName="/xl/drawings/drawing28.xml" ContentType="application/vnd.openxmlformats-officedocument.drawing+xml"/>
  <Override PartName="/xl/worksheets/sheet15.xml" ContentType="application/vnd.openxmlformats-officedocument.spreadsheetml.worksheet+xml"/>
  <Override PartName="/xl/drawings/drawing29.xml" ContentType="application/vnd.openxmlformats-officedocument.drawing+xml"/>
  <Override PartName="/xl/worksheets/sheet16.xml" ContentType="application/vnd.openxmlformats-officedocument.spreadsheetml.worksheet+xml"/>
  <Override PartName="/xl/drawings/drawing3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1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tables/table1.xml" ContentType="application/vnd.openxmlformats-officedocument.spreadsheetml.table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tables/table2.xml" ContentType="application/vnd.openxmlformats-officedocument.spreadsheetml.table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705" windowWidth="14880" windowHeight="6990" tabRatio="973" activeTab="3"/>
  </bookViews>
  <sheets>
    <sheet name="Home" sheetId="35" r:id="rId1"/>
    <sheet name="Camp_List" sheetId="14" r:id="rId2"/>
    <sheet name="CampAnalysis" sheetId="33" r:id="rId3"/>
    <sheet name="Rakhine_CCCM_D" sheetId="39" r:id="rId4"/>
    <sheet name="Kachin_CCCM_D" sheetId="40" r:id="rId5"/>
    <sheet name="Shelter Tracking" sheetId="19" r:id="rId6"/>
    <sheet name="Shelter_Progress" sheetId="36" r:id="rId7"/>
    <sheet name="ShelterAgency" sheetId="45" r:id="rId8"/>
    <sheet name="Rakhine_Shelter_D" sheetId="38" r:id="rId9"/>
    <sheet name="Kashin_Shelter_D" sheetId="62" r:id="rId10"/>
    <sheet name="NFI_Tracking" sheetId="20" r:id="rId11"/>
    <sheet name="Pipeline Stock Tracking" sheetId="30" r:id="rId12"/>
    <sheet name="NFIAgency" sheetId="44" r:id="rId13"/>
    <sheet name="NFIAnalysis" sheetId="37" r:id="rId14"/>
    <sheet name="NFISummary" sheetId="43" r:id="rId15"/>
    <sheet name="Indicator" sheetId="52" state="hidden" r:id="rId16"/>
    <sheet name="analysis" sheetId="41" state="hidden" r:id="rId17"/>
    <sheet name="list" sheetId="31" state="hidden" r:id="rId18"/>
    <sheet name="camp" sheetId="46" state="hidden" r:id="rId19"/>
    <sheet name="Definition" sheetId="49" state="hidden" r:id="rId20"/>
  </sheets>
  <externalReferences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Agency">'[1]Agencies'!$A$2:$A$11</definedName>
    <definedName name="Agency1">'[1]Agencies'!$A$2:$A$11</definedName>
    <definedName name="AllData_Camplist" localSheetId="15">Table_CampList[#All]</definedName>
    <definedName name="AllData_Camplist" localSheetId="9">Table_CampList[#All]</definedName>
    <definedName name="AllData_Camplist">Table_CampList[#All]</definedName>
    <definedName name="Bhamo" localSheetId="9">'list'!#REF!</definedName>
    <definedName name="Bhamo">'list'!#REF!</definedName>
    <definedName name="Camp_Accessibility">'list'!$E$2:$E$4</definedName>
    <definedName name="Camp_Status">"Open, Close"</definedName>
    <definedName name="Camplist_HH">'Camp_List'!$Q:$Q</definedName>
    <definedName name="Camplist_Popl">'Camp_List'!$R:$R</definedName>
    <definedName name="CampList_Status">'Camp_List'!$C:$C</definedName>
    <definedName name="Camplist_Township">'Camp_List'!$F:$F</definedName>
    <definedName name="China" localSheetId="9">'list'!#REF!</definedName>
    <definedName name="China">'list'!#REF!</definedName>
    <definedName name="Chipwi">'list'!$H$2:$H$7</definedName>
    <definedName name="Col_Shelter_org" localSheetId="15">'Indicator'!#REF!</definedName>
    <definedName name="Col_Shelter_org">'Shelter Tracking'!$B:$B</definedName>
    <definedName name="Col_Shelter_Perm_B" localSheetId="15">'Indicator'!#REF!</definedName>
    <definedName name="Col_Shelter_Perm_B">'Shelter Tracking'!$N:$N</definedName>
    <definedName name="Col_Shelter_Perm_P" localSheetId="15">'Indicator'!#REF!</definedName>
    <definedName name="Col_Shelter_Perm_P">'Shelter Tracking'!$M:$M</definedName>
    <definedName name="Col_Shelter_Perm_U" localSheetId="15">'Indicator'!#REF!</definedName>
    <definedName name="Col_Shelter_Perm_U">'Shelter Tracking'!$O:$O</definedName>
    <definedName name="Col_Shelter_State" localSheetId="15">'Indicator'!$B:$B</definedName>
    <definedName name="Col_Shelter_State">'Shelter Tracking'!$D:$D</definedName>
    <definedName name="Col_Shelter_Temp_B" localSheetId="15">'Indicator'!#REF!</definedName>
    <definedName name="Col_Shelter_Temp_B">'Shelter Tracking'!$K:$K</definedName>
    <definedName name="Col_Shelter_Temp_P" localSheetId="15">'Indicator'!#REF!</definedName>
    <definedName name="Col_Shelter_Temp_P">'Shelter Tracking'!$J:$J</definedName>
    <definedName name="Col_Shelter_Temp_U" localSheetId="15">'Indicator'!#REF!</definedName>
    <definedName name="Col_Shelter_Temp_U">'Shelter Tracking'!$L:$L</definedName>
    <definedName name="Col_Shelter_Tent_Dist" localSheetId="15">'Indicator'!#REF!</definedName>
    <definedName name="Col_Shelter_Tent_Dist">'Shelter Tracking'!$I:$I</definedName>
    <definedName name="Col_Shelter_Township" localSheetId="15">'Indicator'!$C:$C</definedName>
    <definedName name="Col_Shelter_Township">'Shelter Tracking'!$E:$E</definedName>
    <definedName name="Hpakan" localSheetId="9">'list'!#REF!</definedName>
    <definedName name="Hpakan">'list'!#REF!</definedName>
    <definedName name="Injangyang">'list'!$J$2</definedName>
    <definedName name="Kachin">'list'!$B$2:$B$21</definedName>
    <definedName name="Khaunglanhpu">'list'!$K$2</definedName>
    <definedName name="Kutkai">'list'!$L$2:$L$9</definedName>
    <definedName name="Kyauk_Phyu">'list'!$AF$2:$AF$3</definedName>
    <definedName name="Kyauktaw">'list'!$AD$2:$AD$12</definedName>
    <definedName name="Mansi">'list'!$M$2:$M$9</definedName>
    <definedName name="Manton" localSheetId="9">'list'!#REF!</definedName>
    <definedName name="Manton">'list'!#REF!</definedName>
    <definedName name="Maungdaw">'list'!$AI$2:$AI$20</definedName>
    <definedName name="Meybon">'list'!$AB$2:$AB$3</definedName>
    <definedName name="Minbya">'list'!$Z$2:$Z$9</definedName>
    <definedName name="Mogaung">'list'!$O$2:$O$4</definedName>
    <definedName name="Mohnyin">'list'!$P$2:$P$4</definedName>
    <definedName name="Momauk" localSheetId="9">'list'!#REF!</definedName>
    <definedName name="Momauk">'list'!#REF!</definedName>
    <definedName name="Mong_Kar">'list'!$R$2</definedName>
    <definedName name="Mrauk_U">'list'!$AA$2:$AA$5</definedName>
    <definedName name="Muse" localSheetId="9">'list'!#REF!</definedName>
    <definedName name="Muse">'list'!#REF!</definedName>
    <definedName name="Myitkyina">'list'!$T$2:$T$27</definedName>
    <definedName name="Namhkan">'list'!$U$2:$U$8</definedName>
    <definedName name="Namtu">'list'!$V$2</definedName>
    <definedName name="NFI">'Definition'!$A$2:$F$9</definedName>
    <definedName name="NFI_Blanket_Pipeline">'Pipeline Stock Tracking'!$V:$V</definedName>
    <definedName name="NFI_Blanket_Stock">'Pipeline Stock Tracking'!$U:$U</definedName>
    <definedName name="NFI_Blanket_Track">'NFI_Tracking'!$U:$U</definedName>
    <definedName name="NFI_Complementary_Pipeline">'Pipeline Stock Tracking'!$AB:$AB</definedName>
    <definedName name="NFI_Complementary_Stock">'Pipeline Stock Tracking'!$AA:$AA</definedName>
    <definedName name="NFI_Complementary_Track">'NFI_Tracking'!$W:$W</definedName>
    <definedName name="NFI_Core_Pipeline">'Pipeline Stock Tracking'!$J:$J</definedName>
    <definedName name="NFI_Core_Stock">'Pipeline Stock Tracking'!$I:$I</definedName>
    <definedName name="NFI_Core_Track">'NFI_Tracking'!$Q:$Q</definedName>
    <definedName name="NFI_Expiration">'NFI_Tracking'!$I$1</definedName>
    <definedName name="NFI_Hygiene_Pipeline">'Pipeline Stock Tracking'!$G:$G</definedName>
    <definedName name="NFI_Hygiene_Stock">'Pipeline Stock Tracking'!$F:$F</definedName>
    <definedName name="NFI_Hygiene_Track">'NFI_Tracking'!$P:$P</definedName>
    <definedName name="NFI_Kitchen_Pipeline">'Pipeline Stock Tracking'!$Y:$Y</definedName>
    <definedName name="NFI_Kitchen_Stock">'Pipeline Stock Tracking'!$X:$X</definedName>
    <definedName name="NFI_Kitchen_Track">'NFI_Tracking'!$V:$V</definedName>
    <definedName name="NFI_Month">'NFI_Tracking'!$A:$A</definedName>
    <definedName name="NFI_Mosquito_Pipeline">'Pipeline Stock Tracking'!$P:$P</definedName>
    <definedName name="NFI_Mosquito_Stock">'Pipeline Stock Tracking'!$O:$O</definedName>
    <definedName name="NFI_Mosquito_Track">'NFI_Tracking'!$S:$S</definedName>
    <definedName name="NFI_Org">'NFI_Tracking'!$C:$C</definedName>
    <definedName name="NFI_Pipeline_State">'Pipeline Stock Tracking'!$D:$D</definedName>
    <definedName name="NFI_Pipeline_Township">'Pipeline Stock Tracking'!$E:$E</definedName>
    <definedName name="NFI_Sanitary_Pipeline">'Pipeline Stock Tracking'!$M:$M</definedName>
    <definedName name="NFI_Sanitary_Stock">'Pipeline Stock Tracking'!$L:$L</definedName>
    <definedName name="NFI_Sanitary_Track">'NFI_Tracking'!$R:$R</definedName>
    <definedName name="NFI_State">'NFI_Tracking'!$E:$E</definedName>
    <definedName name="NFI_Tarpaulin_Pipeline">'Pipeline Stock Tracking'!$S:$S</definedName>
    <definedName name="NFI_Tarpaulin_Stock">'Pipeline Stock Tracking'!$R:$R</definedName>
    <definedName name="NFI_Tarpaulin_Track">'NFI_Tracking'!$T:$T</definedName>
    <definedName name="NFI_Township">'NFI_Tracking'!$F:$F</definedName>
    <definedName name="Pauktaw">'list'!$AC$2:$AC$6</definedName>
    <definedName name="_xlnm.Print_Area" localSheetId="2">'CampAnalysis'!$A$2:$M$48</definedName>
    <definedName name="_xlnm.Print_Area" localSheetId="4">'Kachin_CCCM_D'!$A$2:$T$47</definedName>
    <definedName name="_xlnm.Print_Area" localSheetId="9">'Kashin_Shelter_D'!$A$2:$T$48</definedName>
    <definedName name="_xlnm.Print_Area" localSheetId="10">'NFI_Tracking'!$A$5:$O$5</definedName>
    <definedName name="_xlnm.Print_Area" localSheetId="12">'NFIAgency'!$A$2:$I$34</definedName>
    <definedName name="_xlnm.Print_Area" localSheetId="13">'NFIAnalysis'!$A$2:$Z$42</definedName>
    <definedName name="_xlnm.Print_Area" localSheetId="14">'NFISummary'!$A$2:$N$70</definedName>
    <definedName name="_xlnm.Print_Area" localSheetId="11">'Pipeline Stock Tracking'!$A$5:$AC$10</definedName>
    <definedName name="_xlnm.Print_Area" localSheetId="3">'Rakhine_CCCM_D'!$A$2:$T$49</definedName>
    <definedName name="_xlnm.Print_Area" localSheetId="8">'Rakhine_Shelter_D'!$A$2:$T$48</definedName>
    <definedName name="_xlnm.Print_Area" localSheetId="6">'Shelter_Progress'!$A$1:$O$90</definedName>
    <definedName name="_xlnm.Print_Area" localSheetId="7">'ShelterAgency'!$A$2:$F$42</definedName>
    <definedName name="Puta_O">'list'!$W$2</definedName>
    <definedName name="Rakhine">'list'!$C$2:$C$11</definedName>
    <definedName name="Rakhine_IP">'list'!$C$24:$C$30</definedName>
    <definedName name="Ramree">'list'!$AG$2:$AG$3</definedName>
    <definedName name="Rathedaung">'list'!$AE$2:$AE$5</definedName>
    <definedName name="Report_Date">'Home'!$B$50</definedName>
    <definedName name="Shelter_HH_Covered" localSheetId="15">'Indicator'!#REF!</definedName>
    <definedName name="Shelter_HH_Covered">'Shelter Tracking'!$P:$P</definedName>
    <definedName name="Shwegu" localSheetId="9">'list'!#REF!</definedName>
    <definedName name="Shwegu">'list'!#REF!</definedName>
    <definedName name="Sittwe">'list'!$AH$2:$AH$77</definedName>
    <definedName name="Townships">'[2]IDP Sites'!$G$2:$G$11</definedName>
    <definedName name="Waingmaw" localSheetId="9">'list'!#REF!</definedName>
    <definedName name="Waingmaw">'list'!#REF!</definedName>
  </definedNames>
  <calcPr calcId="145621"/>
  <pivotCaches>
    <pivotCache cacheId="181" r:id="rId21"/>
    <pivotCache cacheId="169" r:id="rId22"/>
    <pivotCache cacheId="176" r:id="rId23"/>
  </pivotCaches>
</workbook>
</file>

<file path=xl/sharedStrings.xml><?xml version="1.0" encoding="utf-8"?>
<sst xmlns="http://schemas.openxmlformats.org/spreadsheetml/2006/main" count="8578" uniqueCount="1341">
  <si>
    <t>TOWNSHIP_NAME</t>
  </si>
  <si>
    <t>Township</t>
  </si>
  <si>
    <t>Longitude</t>
  </si>
  <si>
    <t>Latitude</t>
  </si>
  <si>
    <t>HH</t>
  </si>
  <si>
    <t>Total</t>
  </si>
  <si>
    <t>MMR001CMP050</t>
  </si>
  <si>
    <t>Bhamo</t>
  </si>
  <si>
    <t>AD-2000 Tharthana Compound</t>
  </si>
  <si>
    <t>MMR001CMP051</t>
  </si>
  <si>
    <t>Mu-yin Baptist Church</t>
  </si>
  <si>
    <t>MMR001CMP153</t>
  </si>
  <si>
    <t>Daw Hpum Yang Ninghtawn</t>
  </si>
  <si>
    <t>MMR001CMP163</t>
  </si>
  <si>
    <t>Host Families</t>
  </si>
  <si>
    <t>MMR001CMP052</t>
  </si>
  <si>
    <t>Htoi San Church</t>
  </si>
  <si>
    <t>MMR001CMP048</t>
  </si>
  <si>
    <t>Kannar Yeik Thar</t>
  </si>
  <si>
    <t>MMR001CMP049</t>
  </si>
  <si>
    <t>Lisu Boarding-House</t>
  </si>
  <si>
    <t>MMR001CMP054</t>
  </si>
  <si>
    <t>Nant Hlaing Church</t>
  </si>
  <si>
    <t>MMR001CMP047</t>
  </si>
  <si>
    <t>Robert Church</t>
  </si>
  <si>
    <t>MMR001CMP055</t>
  </si>
  <si>
    <t>Ta Gun Taing Monastery (Shwe Kyi Na)</t>
  </si>
  <si>
    <t>MMR001CMP053</t>
  </si>
  <si>
    <t>Yoe Kyi Monastery</t>
  </si>
  <si>
    <t>Chipwi</t>
  </si>
  <si>
    <t>Chipwi KBC camp</t>
  </si>
  <si>
    <t>MMR001CMP043</t>
  </si>
  <si>
    <t>MMR001CMP042</t>
  </si>
  <si>
    <t>MMR001CMP046</t>
  </si>
  <si>
    <t>Gant Gwin</t>
  </si>
  <si>
    <t>MMR001CMP045</t>
  </si>
  <si>
    <t xml:space="preserve">Lan Jaw </t>
  </si>
  <si>
    <t>Lawk Hkawng Ginwang</t>
  </si>
  <si>
    <t>MMR001CMP044</t>
  </si>
  <si>
    <t>Women's Affairs Association Building</t>
  </si>
  <si>
    <t>MMR001CMP173</t>
  </si>
  <si>
    <t>Hpakan</t>
  </si>
  <si>
    <t>Anglican Church, Hmaw Si Sar</t>
  </si>
  <si>
    <t>MMR001CMP176</t>
  </si>
  <si>
    <t>AG Church, Hmaw Si Sa</t>
  </si>
  <si>
    <t>MMR001CMP190</t>
  </si>
  <si>
    <t>AG Church, Maw Wan</t>
  </si>
  <si>
    <t>Hmaw Wan, Anglican</t>
  </si>
  <si>
    <t>MMR001CMP191</t>
  </si>
  <si>
    <t>MMR001CMP192</t>
  </si>
  <si>
    <t>Association of Christ, Nam Ma Phyit</t>
  </si>
  <si>
    <t>MMR001CMP170</t>
  </si>
  <si>
    <t>Away Yar Rama Monastery, Ka Day village</t>
  </si>
  <si>
    <t>MMR001CMP092</t>
  </si>
  <si>
    <t xml:space="preserve">Aye Mya Tharyar Church of Christ </t>
  </si>
  <si>
    <t>MMR001CMP169</t>
  </si>
  <si>
    <t>Baptist Church, Hmaw Si Sar(Lon Khin)</t>
  </si>
  <si>
    <t>MMR001CMP094</t>
  </si>
  <si>
    <t>Mashi Kahtawng Baptist  Church</t>
  </si>
  <si>
    <t>MMR001CMP189</t>
  </si>
  <si>
    <t>Hmaw Wan, Baptist Christian Church</t>
  </si>
  <si>
    <t>MMR001CMP188</t>
  </si>
  <si>
    <t>Baptist Church, Naung Hmee VT</t>
  </si>
  <si>
    <t>MMR001CMP172</t>
  </si>
  <si>
    <t>Baptist Church, Sai Ra village</t>
  </si>
  <si>
    <t>MMR001CMP179</t>
  </si>
  <si>
    <t>5 Ward Baptist Church(lon Khin)</t>
  </si>
  <si>
    <t>MMR001CMP185</t>
  </si>
  <si>
    <t>Ward 2 Cahotlic Church, Seik Mu</t>
  </si>
  <si>
    <t>MMR001CMP093</t>
  </si>
  <si>
    <t>Mashi Kahtawng Catholic Church</t>
  </si>
  <si>
    <t>MMR001CMP090</t>
  </si>
  <si>
    <t>Maw Wan, Catholic Church</t>
  </si>
  <si>
    <t>MMR001CMP086</t>
  </si>
  <si>
    <t>Chin(Zomi) Baptist Church</t>
  </si>
  <si>
    <t>MMR001CMP109</t>
  </si>
  <si>
    <t>Chin Church, Seik Mu</t>
  </si>
  <si>
    <t>MMR001CMP175</t>
  </si>
  <si>
    <t>Wrad(5) Christian Association</t>
  </si>
  <si>
    <t>MMR001CMP174</t>
  </si>
  <si>
    <t>Dhama Rakhita, Nyein Chan Tar Yar Ward(Lon Khin)</t>
  </si>
  <si>
    <t>MMR001CMP180</t>
  </si>
  <si>
    <t>Ei Wan Gali Asso., Ward 1, Seik Mu</t>
  </si>
  <si>
    <t>MMR001CMP096</t>
  </si>
  <si>
    <t>Mashi Kahtawng Evangelical Church</t>
  </si>
  <si>
    <t>MMR001CMP186</t>
  </si>
  <si>
    <t>Free Christian Asso., Ward 1, Seik Mu</t>
  </si>
  <si>
    <t>MMR001CMP085</t>
  </si>
  <si>
    <t>Maw Wan, Kachin Baptist Church</t>
  </si>
  <si>
    <t>MMR001CMP084</t>
  </si>
  <si>
    <t>Maw Wan, Kyauk Hlaing Gu Pagoda Compound</t>
  </si>
  <si>
    <t>MMR001CMP148</t>
  </si>
  <si>
    <t>Hlaing Naung Baptist</t>
  </si>
  <si>
    <t>MMR001CMP181</t>
  </si>
  <si>
    <t>Lisu Baptist Church, Maw Shan Vil,. Seik Mu</t>
  </si>
  <si>
    <t>MMR001CMP167</t>
  </si>
  <si>
    <t>Lisu Baptist Church, Maw Wan Ward</t>
  </si>
  <si>
    <t>MMR001CMP107</t>
  </si>
  <si>
    <t>Ma Mon Buddhist Monastery</t>
  </si>
  <si>
    <t>MMR001CMP104</t>
  </si>
  <si>
    <t>San Kyel, Masoe Yein Monestry</t>
  </si>
  <si>
    <t>MMR001CMP178</t>
  </si>
  <si>
    <t>May Di Ka Rama Monastery(Lon Khin)</t>
  </si>
  <si>
    <t>MMR001CMP091</t>
  </si>
  <si>
    <t>Maw Wan, Mu-yin Baptist Church</t>
  </si>
  <si>
    <t>MMR001CMP098</t>
  </si>
  <si>
    <t>Mashi Kahtawng Municipal Dammar Yone</t>
  </si>
  <si>
    <t>MMR001CMP088</t>
  </si>
  <si>
    <t>Maw Wan, Myo Oo Pagoda</t>
  </si>
  <si>
    <t>MMR001CMP099</t>
  </si>
  <si>
    <t>Mashi Kahtawng Myo Oo Taw Ya Monestry</t>
  </si>
  <si>
    <t>MMR001CMP103</t>
  </si>
  <si>
    <t>Nant Ma Hpit Catholic Church</t>
  </si>
  <si>
    <t>MMR001CMP082</t>
  </si>
  <si>
    <t xml:space="preserve">Nga Pyaw Taw Baptist Nursery School </t>
  </si>
  <si>
    <t>MMR001CMP083</t>
  </si>
  <si>
    <t>Nga Pyaw Taw Roman Catholic Church</t>
  </si>
  <si>
    <t>MMR001CMP102</t>
  </si>
  <si>
    <t>Parami, Charity Office, MyoMa Quarter</t>
  </si>
  <si>
    <t>MMR001CMP095</t>
  </si>
  <si>
    <t>Mashi Kahtawng Rakhine traditional group</t>
  </si>
  <si>
    <t>MMR001CMP182</t>
  </si>
  <si>
    <t>Rawan Baptist Church, Maw Shan Vil., Seik Mu</t>
  </si>
  <si>
    <t>MMR001CMP168</t>
  </si>
  <si>
    <t>5 Ward RC Church(lon Khin)</t>
  </si>
  <si>
    <t>MMR001CMP108</t>
  </si>
  <si>
    <t>Sa Baw Sarsana Parla Monastery</t>
  </si>
  <si>
    <t>MMR001CMP183</t>
  </si>
  <si>
    <t>Sai Nai Baptish Church, Maw Shan Vil., Seki Mu</t>
  </si>
  <si>
    <t>MMR001CMP184</t>
  </si>
  <si>
    <t xml:space="preserve">Ward 2 Sai Taung Baptist Church, Seik Mu </t>
  </si>
  <si>
    <t>MMR001CMP171</t>
  </si>
  <si>
    <t>1 Ward, Sein Yadanar Company(Lon Khin)</t>
  </si>
  <si>
    <t>MMR001CMP100</t>
  </si>
  <si>
    <t>Mashi Kahtawng Shan Traditional Monestry</t>
  </si>
  <si>
    <t>MMR001CMP110</t>
  </si>
  <si>
    <t>Tar Ma Hkan Buddhist Monastery, Haung Par</t>
  </si>
  <si>
    <t>MMR001CMP101</t>
  </si>
  <si>
    <t>Thiri Mingalar Manizay Yone, Myoma Quarter</t>
  </si>
  <si>
    <t>MMR001CMP106</t>
  </si>
  <si>
    <t>Maw Si Zar, Thiriyardanar Sein, Damma Compound, Lone Khin</t>
  </si>
  <si>
    <t>MMR001CMP097</t>
  </si>
  <si>
    <t>Mashi Kahtawng Yaung Chi Oo Thi la shin Monestry</t>
  </si>
  <si>
    <t>MMR001CMP105</t>
  </si>
  <si>
    <t>Yumar Baptist Church</t>
  </si>
  <si>
    <t>MMR001CMP177</t>
  </si>
  <si>
    <t>Muring Baptist Church, Awng Ra, Wa Ra Zut VT</t>
  </si>
  <si>
    <t>MMR001CMP074</t>
  </si>
  <si>
    <t>Khaunglanhpu</t>
  </si>
  <si>
    <t>La Ja</t>
  </si>
  <si>
    <t>Kutkai</t>
  </si>
  <si>
    <t>MMR015CMP006</t>
  </si>
  <si>
    <t>MMR015CMP007</t>
  </si>
  <si>
    <t xml:space="preserve">Nam Hpak Ka Mare </t>
  </si>
  <si>
    <t>MMR001CMP066</t>
  </si>
  <si>
    <t>Mansi</t>
  </si>
  <si>
    <t>Mansi Baptist Church</t>
  </si>
  <si>
    <t>MMR001CMP132</t>
  </si>
  <si>
    <t>Man Wing Catholic Church</t>
  </si>
  <si>
    <t>MMR001CMP134</t>
  </si>
  <si>
    <t>Man Wing Host Families</t>
  </si>
  <si>
    <t>MMR001CMP135</t>
  </si>
  <si>
    <t>Lung Kawk  ( Hka Hkye Zup)</t>
  </si>
  <si>
    <t>MMR001CMP133</t>
  </si>
  <si>
    <t>Man Wing Baptist Church</t>
  </si>
  <si>
    <t>MMR001CMP136</t>
  </si>
  <si>
    <t>Nam Hka Mare (west of Man Wing)</t>
  </si>
  <si>
    <t>MMR001CMP137</t>
  </si>
  <si>
    <t>Nam Lim Pa - Scattered IDPs in forest</t>
  </si>
  <si>
    <t>MMR015CMP009</t>
  </si>
  <si>
    <t>Manton</t>
  </si>
  <si>
    <t>Mandung - Jinghpaw</t>
  </si>
  <si>
    <t>MMR015CMP010</t>
  </si>
  <si>
    <t>Howa</t>
  </si>
  <si>
    <t>MMR015CMP011</t>
  </si>
  <si>
    <t>Nam Hkyet</t>
  </si>
  <si>
    <t>MMR001CMP078</t>
  </si>
  <si>
    <t>Mogaung</t>
  </si>
  <si>
    <t xml:space="preserve">Kyun Taw Baptist Church </t>
  </si>
  <si>
    <t>MMR001CMP077</t>
  </si>
  <si>
    <t>Mang Hawng Baptist Church</t>
  </si>
  <si>
    <t>MMR001CMP079</t>
  </si>
  <si>
    <t xml:space="preserve">Nat Gyi Kone Baptist Church </t>
  </si>
  <si>
    <t>MMR001CMP080</t>
  </si>
  <si>
    <t>Mohnyin</t>
  </si>
  <si>
    <t xml:space="preserve">St. Patrick Catholic Church </t>
  </si>
  <si>
    <t>MMR001CMP081</t>
  </si>
  <si>
    <t>Nant Mun</t>
  </si>
  <si>
    <t>MMR001CMP071</t>
  </si>
  <si>
    <t>Momauk</t>
  </si>
  <si>
    <t>Loi Je Baptist Church</t>
  </si>
  <si>
    <t>MMR001CMP129</t>
  </si>
  <si>
    <t xml:space="preserve">Bum Tsit Pa </t>
  </si>
  <si>
    <t>MMR001CMP070</t>
  </si>
  <si>
    <t>Loi Je Lisu Camp</t>
  </si>
  <si>
    <t>MMR001CMP123</t>
  </si>
  <si>
    <t xml:space="preserve">Dum Bung </t>
  </si>
  <si>
    <t>MMR001CMP122</t>
  </si>
  <si>
    <t xml:space="preserve">Hpun Lum Yang </t>
  </si>
  <si>
    <t>MMR001CMP121</t>
  </si>
  <si>
    <t xml:space="preserve">Je Yang Hka </t>
  </si>
  <si>
    <t>MMR001CMP128</t>
  </si>
  <si>
    <t xml:space="preserve">Lana Zup Ja </t>
  </si>
  <si>
    <t>MMR001CMP064</t>
  </si>
  <si>
    <t xml:space="preserve">Mai Khat </t>
  </si>
  <si>
    <t>MMR001CMP062</t>
  </si>
  <si>
    <t>Man Bung Catholic compound</t>
  </si>
  <si>
    <t>MMR001CMP063</t>
  </si>
  <si>
    <t xml:space="preserve">Man Nawng </t>
  </si>
  <si>
    <t>Man Ting</t>
  </si>
  <si>
    <t>MMR001CMP058</t>
  </si>
  <si>
    <t>Mandalay Monestry</t>
  </si>
  <si>
    <t>MMR001CMP056</t>
  </si>
  <si>
    <t>Momauk Baptist Church</t>
  </si>
  <si>
    <t>MMR001CMP057</t>
  </si>
  <si>
    <t>Momauk Catholic Church (St. Patrick)</t>
  </si>
  <si>
    <t>MMR001CMP061</t>
  </si>
  <si>
    <t xml:space="preserve">Myo Thit </t>
  </si>
  <si>
    <t>MMR001CMP131</t>
  </si>
  <si>
    <t xml:space="preserve">Nhkawng Pa </t>
  </si>
  <si>
    <t>MMR001CMP059</t>
  </si>
  <si>
    <t>Ni Thaw Ka Monestry</t>
  </si>
  <si>
    <t>MMR001CMP126</t>
  </si>
  <si>
    <t xml:space="preserve">Pa Kahtawng </t>
  </si>
  <si>
    <t>MMR001CMP065</t>
  </si>
  <si>
    <t xml:space="preserve">Phar Kay/Nant Waing </t>
  </si>
  <si>
    <t>MMR001CMP069</t>
  </si>
  <si>
    <t>Loi Je Catholic Church</t>
  </si>
  <si>
    <t>MMR001CMP073</t>
  </si>
  <si>
    <t xml:space="preserve">Seng Ja </t>
  </si>
  <si>
    <t>MMR001CMP060</t>
  </si>
  <si>
    <t xml:space="preserve">Tarli </t>
  </si>
  <si>
    <t>MMR001CMP072</t>
  </si>
  <si>
    <t xml:space="preserve">Nyaung Na Pin </t>
  </si>
  <si>
    <t>Muse</t>
  </si>
  <si>
    <t>Hpai Kawng Mare</t>
  </si>
  <si>
    <t>MMR015CMP012</t>
  </si>
  <si>
    <t xml:space="preserve">Munekoe Pa (Giwang) - Hka San (Mung  Go  Pa ) </t>
  </si>
  <si>
    <t>MMR015CMP005</t>
  </si>
  <si>
    <t xml:space="preserve">Mung Baw </t>
  </si>
  <si>
    <t>MMR001CMP001</t>
  </si>
  <si>
    <t>Myitkyina</t>
  </si>
  <si>
    <t>Tat Kone Baptist Church</t>
  </si>
  <si>
    <t>MMR001CMP015</t>
  </si>
  <si>
    <t>Le Kone Bethlehem Church</t>
  </si>
  <si>
    <t>MMR001CMP023</t>
  </si>
  <si>
    <t>Tat Kone COC Baptist / Tat Kone Htoi San</t>
  </si>
  <si>
    <t>MMR001CMP012</t>
  </si>
  <si>
    <t>Du Kahtawng Qtr. 14</t>
  </si>
  <si>
    <t>MMR001CMP010</t>
  </si>
  <si>
    <t>Du Kahtawng Qtr. 4</t>
  </si>
  <si>
    <t>MMR001CMP011</t>
  </si>
  <si>
    <t>Du Kahtawng Qtr. 5</t>
  </si>
  <si>
    <t>MMR001CMP004</t>
  </si>
  <si>
    <t>Tat Kone Emanuel Church</t>
  </si>
  <si>
    <t>MMR001CMP003</t>
  </si>
  <si>
    <t>Tat Kone Galile Baptist Church</t>
  </si>
  <si>
    <t>MMR001CMP018</t>
  </si>
  <si>
    <t>Jan Mai Kawng Baptist Church</t>
  </si>
  <si>
    <t>MMR001CMP019</t>
  </si>
  <si>
    <t>Jan Mai Kawng Catholic Church</t>
  </si>
  <si>
    <t>MMR001CMP013</t>
  </si>
  <si>
    <t>Kyun Pin Thar Baptist Church</t>
  </si>
  <si>
    <t>MMR001CMP016</t>
  </si>
  <si>
    <t>Maliyang Baptist Church</t>
  </si>
  <si>
    <t>MMR001CMP008</t>
  </si>
  <si>
    <t>Man Hkring Baptist Church</t>
  </si>
  <si>
    <t>MMR001CMP020</t>
  </si>
  <si>
    <t>Maw Hpawng Hka Nan Baptist Church</t>
  </si>
  <si>
    <t>MMR001CMP021</t>
  </si>
  <si>
    <t>Maw Hpawng Lhaovo Baptist Church</t>
  </si>
  <si>
    <t>MMR001CMP017</t>
  </si>
  <si>
    <t>Myay Myint Baptist Church</t>
  </si>
  <si>
    <t>MMR001CMP002</t>
  </si>
  <si>
    <t xml:space="preserve">Njang Dung Baptist Church </t>
  </si>
  <si>
    <t>MMR001CMP024</t>
  </si>
  <si>
    <t>Nan Kway St. John Catholic Church</t>
  </si>
  <si>
    <t>MMR001CMP162</t>
  </si>
  <si>
    <t>Pa Dauk Myaing(Pa La Na)</t>
  </si>
  <si>
    <t>MMR001CMP005</t>
  </si>
  <si>
    <t>Tat Kone San Pya Baptist Church</t>
  </si>
  <si>
    <t>MMR001CMP006</t>
  </si>
  <si>
    <t>Shatapru Sut Ngai Tawng</t>
  </si>
  <si>
    <t>MMR001CMP007</t>
  </si>
  <si>
    <t>Shatapru Thida Aye Baptist Church</t>
  </si>
  <si>
    <t>MMR001CMP009</t>
  </si>
  <si>
    <t>Shwe Zet Baptist Church</t>
  </si>
  <si>
    <t>MMR001CMP022</t>
  </si>
  <si>
    <t>Wun Tho Buddhist Monastery</t>
  </si>
  <si>
    <t>MMR001CMP014</t>
  </si>
  <si>
    <t xml:space="preserve">Le Kone Ziun Baptist Church </t>
  </si>
  <si>
    <t>MMR001CMP152</t>
  </si>
  <si>
    <t xml:space="preserve">Nawng Ing (Indawgyi) Baptist Church  </t>
  </si>
  <si>
    <t>MMR015CMP001</t>
  </si>
  <si>
    <t>Namhkan</t>
  </si>
  <si>
    <t>Nam Hkam (KBC Jaw Wang)</t>
  </si>
  <si>
    <t>MMR015CMP004</t>
  </si>
  <si>
    <t>Nam Hkam - Nay Win Ni (Palawng)</t>
  </si>
  <si>
    <t>MMR015CMP002</t>
  </si>
  <si>
    <t xml:space="preserve">Nam Hkam Malut Jak </t>
  </si>
  <si>
    <t>MMR015CMP003</t>
  </si>
  <si>
    <t xml:space="preserve">Mung Ding Pa </t>
  </si>
  <si>
    <t>MMR015CMP014</t>
  </si>
  <si>
    <t>Namtu</t>
  </si>
  <si>
    <t>Nam Tu</t>
  </si>
  <si>
    <t>MMR001CMP075</t>
  </si>
  <si>
    <t>Puta-O</t>
  </si>
  <si>
    <t>Tote Tan Ward</t>
  </si>
  <si>
    <t>Shwegu</t>
  </si>
  <si>
    <t>MMR001CMP147</t>
  </si>
  <si>
    <t>Lawk Awng Mare D. (Sinbo Area)</t>
  </si>
  <si>
    <t>MMR001CMP067</t>
  </si>
  <si>
    <t>Shwe Gu Baptist Church</t>
  </si>
  <si>
    <t>MMR001CMP068</t>
  </si>
  <si>
    <t>Shwe Gu Catholic Church</t>
  </si>
  <si>
    <t>MMR001CMP036</t>
  </si>
  <si>
    <t>Waingmaw</t>
  </si>
  <si>
    <t>Waingmaw Baptist Zonal Office</t>
  </si>
  <si>
    <t>MMR001CMP028</t>
  </si>
  <si>
    <t xml:space="preserve">Hkat Cho </t>
  </si>
  <si>
    <t>MMR001CMP117</t>
  </si>
  <si>
    <t>Laiza Market 3 / Laiza Gat</t>
  </si>
  <si>
    <t>MMR001CMP038</t>
  </si>
  <si>
    <t>Waingmaw AG Church</t>
  </si>
  <si>
    <t>MMR001CMP032</t>
  </si>
  <si>
    <t>Qtr. 2 Lhaovo Baptist Church</t>
  </si>
  <si>
    <t>MMR001CMP027</t>
  </si>
  <si>
    <t>Mading Baptist Church</t>
  </si>
  <si>
    <t>MMR001CMP119</t>
  </si>
  <si>
    <t xml:space="preserve">Maga Yang </t>
  </si>
  <si>
    <t>MMR001CMP040</t>
  </si>
  <si>
    <t>Maina KBC (Bawng Ring)</t>
  </si>
  <si>
    <t>MMR001CMP039</t>
  </si>
  <si>
    <t>Maina Lawang Baptist Church</t>
  </si>
  <si>
    <t>MMR001CMP031</t>
  </si>
  <si>
    <t>Maina AG Church</t>
  </si>
  <si>
    <t>MMR001CMP029</t>
  </si>
  <si>
    <t>Maina Catholic Church (St. Joseph)</t>
  </si>
  <si>
    <t>MMR001CMP118</t>
  </si>
  <si>
    <t>Manau Compound</t>
  </si>
  <si>
    <t>MMR001CMP113</t>
  </si>
  <si>
    <t>Border Post 8</t>
  </si>
  <si>
    <t>MMR001CMP115</t>
  </si>
  <si>
    <t>Hkau Shau (BP 12)</t>
  </si>
  <si>
    <t>MMR001CMP030</t>
  </si>
  <si>
    <t>Qtr. 3 Mu-yin  Baptist Church</t>
  </si>
  <si>
    <t>MMR001CMP149</t>
  </si>
  <si>
    <t>Laiza Muklum Hpyen  Yen Mungshawa ni</t>
  </si>
  <si>
    <t>MMR001CMP025</t>
  </si>
  <si>
    <t>Qtr. 2 Myoma Baptist Church</t>
  </si>
  <si>
    <t>MMR001CMP033</t>
  </si>
  <si>
    <t>Nawng Hee Village</t>
  </si>
  <si>
    <t>MMR001CMP120</t>
  </si>
  <si>
    <t>Pajau / Jan Mai</t>
  </si>
  <si>
    <t>MMR001CMP041</t>
  </si>
  <si>
    <t>Shing Jai</t>
  </si>
  <si>
    <t>MMR001CMP037</t>
  </si>
  <si>
    <t>Thargaya Lisu Baptist Church</t>
  </si>
  <si>
    <t>MMR001CMP026</t>
  </si>
  <si>
    <t>Qtr. 4 Monestry (Thargaya Thayett Taw)</t>
  </si>
  <si>
    <t>MMR001CMP116</t>
  </si>
  <si>
    <t xml:space="preserve">Woi Chyai </t>
  </si>
  <si>
    <t>MMR001CMP160</t>
  </si>
  <si>
    <t>Post 6 Camp</t>
  </si>
  <si>
    <t>MMR001CMP111</t>
  </si>
  <si>
    <t>Zai Awng / Mung Ga Zup</t>
  </si>
  <si>
    <t>MMR001CMP114</t>
  </si>
  <si>
    <t>Border Post 10</t>
  </si>
  <si>
    <t>MMR001CMP035</t>
  </si>
  <si>
    <t>Moke Lwe Village / Hkar Shi</t>
  </si>
  <si>
    <t>MMR001CMP034</t>
  </si>
  <si>
    <t>Nawng Si Paw Village / Inn Lay</t>
  </si>
  <si>
    <t>MMR001CMP158</t>
  </si>
  <si>
    <t>Nong Pong Camp</t>
  </si>
  <si>
    <t>CHN001CMP017</t>
  </si>
  <si>
    <t>Chong Shang Pa</t>
  </si>
  <si>
    <t>China</t>
  </si>
  <si>
    <t>CHN001CMP015</t>
  </si>
  <si>
    <t>Da Bang Chi</t>
  </si>
  <si>
    <t>CHN001CMP012</t>
  </si>
  <si>
    <t xml:space="preserve">Hpare  </t>
  </si>
  <si>
    <t>CHN001CMP014</t>
  </si>
  <si>
    <t>Hpare   (Lisu Mare)</t>
  </si>
  <si>
    <t>CHN001CMP013</t>
  </si>
  <si>
    <t>Jan Shi</t>
  </si>
  <si>
    <t>CHN001CMP001</t>
  </si>
  <si>
    <t>La Ying</t>
  </si>
  <si>
    <t>CHN001CMP018</t>
  </si>
  <si>
    <t>Lau Shang</t>
  </si>
  <si>
    <t>CHN001CMP009</t>
  </si>
  <si>
    <t xml:space="preserve">Man Hai </t>
  </si>
  <si>
    <t>CHN001CMP010</t>
  </si>
  <si>
    <t>Pang Wa Ten Htan</t>
  </si>
  <si>
    <t>CHN001CMP016</t>
  </si>
  <si>
    <t>Quen Hau Hti</t>
  </si>
  <si>
    <t>CHN001CMP008</t>
  </si>
  <si>
    <t>Shinggan  (Nawng Tau)</t>
  </si>
  <si>
    <t>MMR001CMP139</t>
  </si>
  <si>
    <t>Nam Hkawng</t>
  </si>
  <si>
    <t>CHN001CMP005</t>
  </si>
  <si>
    <t>Dingga  - Nga Nawng Pa</t>
  </si>
  <si>
    <t>CHN001CMP006</t>
  </si>
  <si>
    <t xml:space="preserve">Hka Dawng Pa </t>
  </si>
  <si>
    <t>CHN001CMP004</t>
  </si>
  <si>
    <t xml:space="preserve">Lauhpai </t>
  </si>
  <si>
    <t>CHN001CMP007</t>
  </si>
  <si>
    <t xml:space="preserve">Lung Kawk </t>
  </si>
  <si>
    <t>CHN001CMP002</t>
  </si>
  <si>
    <t xml:space="preserve">Na Kawng  </t>
  </si>
  <si>
    <t>CHN001CMP003</t>
  </si>
  <si>
    <t xml:space="preserve">Yang Lu  </t>
  </si>
  <si>
    <t>MMR001CMP146</t>
  </si>
  <si>
    <t>Injangyang</t>
  </si>
  <si>
    <t>CHN001CMP011</t>
  </si>
  <si>
    <t>Lahta Masat shadaw (6)</t>
  </si>
  <si>
    <t>Hpare Hkyer - BP6</t>
  </si>
  <si>
    <t>Lhaovao Baptist Church (LBC)</t>
  </si>
  <si>
    <t>Phan Khar Kone</t>
  </si>
  <si>
    <t xml:space="preserve">Mungji Pa Dabang (RC Church)         </t>
  </si>
  <si>
    <t>Mine Yu Lay village</t>
  </si>
  <si>
    <t>Kutkai downtown (KBC Church)</t>
  </si>
  <si>
    <t>Kutkai downtown (RC Church)</t>
  </si>
  <si>
    <t xml:space="preserve">Mungji Pa Dabang (Baptist Church)         </t>
  </si>
  <si>
    <t>Hka San Camp</t>
  </si>
  <si>
    <t>Kone Khem Camp</t>
  </si>
  <si>
    <t>Zup Aung Camp</t>
  </si>
  <si>
    <t>Nam Hkam Catholic Church ( St. Thomas I)</t>
  </si>
  <si>
    <t>Nam Hkam Catholic Church ( St. Thomas II)</t>
  </si>
  <si>
    <t>Sr.No</t>
  </si>
  <si>
    <t>MMR001CMP193</t>
  </si>
  <si>
    <t>MMR001CMP194</t>
  </si>
  <si>
    <t>MMR001CMP195</t>
  </si>
  <si>
    <t>Mong Kar</t>
  </si>
  <si>
    <t>Kachin</t>
  </si>
  <si>
    <t>Rakhine</t>
  </si>
  <si>
    <t>MMR015CMP015</t>
  </si>
  <si>
    <t>MMR015CMP016</t>
  </si>
  <si>
    <t>MMR015CMP017</t>
  </si>
  <si>
    <t>MMR015CMP018</t>
  </si>
  <si>
    <t>MMR015CMP019</t>
  </si>
  <si>
    <t>MMR015CMP020</t>
  </si>
  <si>
    <t>MMR015CMP021</t>
  </si>
  <si>
    <t>MMR015CMP022</t>
  </si>
  <si>
    <t>MMR015CMP023</t>
  </si>
  <si>
    <t>MMR015CMP024</t>
  </si>
  <si>
    <t>MMR001CMP196</t>
  </si>
  <si>
    <t>MMR001CMP197</t>
  </si>
  <si>
    <t>MMR001CMP198</t>
  </si>
  <si>
    <t>MMR001CMP199</t>
  </si>
  <si>
    <t>P_Code</t>
  </si>
  <si>
    <t>Camp Name</t>
  </si>
  <si>
    <t>State</t>
  </si>
  <si>
    <t>Minbya</t>
  </si>
  <si>
    <t>Mrauk_U</t>
  </si>
  <si>
    <t>Meybon</t>
  </si>
  <si>
    <t>Pauktaw</t>
  </si>
  <si>
    <t>Kyauktaw</t>
  </si>
  <si>
    <t>Rathedaung</t>
  </si>
  <si>
    <t>Kyauk_Phyu</t>
  </si>
  <si>
    <t>Ramree</t>
  </si>
  <si>
    <t>Sittwe</t>
  </si>
  <si>
    <t>Maungdaw</t>
  </si>
  <si>
    <t>Collective Center</t>
  </si>
  <si>
    <t>Individual (non hosted)</t>
  </si>
  <si>
    <t>Planned Camp</t>
  </si>
  <si>
    <t>Privately Hosted</t>
  </si>
  <si>
    <t>Self Settled Camp</t>
  </si>
  <si>
    <t>Type of Accomodation</t>
  </si>
  <si>
    <t>Paik Thay</t>
  </si>
  <si>
    <t>Tha Dar</t>
  </si>
  <si>
    <t>San Htoe Tan</t>
  </si>
  <si>
    <t>Nagara Pauktaw</t>
  </si>
  <si>
    <t>Tha Yet Oak</t>
  </si>
  <si>
    <t>Aung Taing</t>
  </si>
  <si>
    <t>Thay Kan</t>
  </si>
  <si>
    <t>Sam Ba Le</t>
  </si>
  <si>
    <t>Pa Rein</t>
  </si>
  <si>
    <t>Yai Thei-Muslim</t>
  </si>
  <si>
    <t>Myat Buddha Mandine Monastery</t>
  </si>
  <si>
    <t>Raw Ma Ni Sin Oe</t>
  </si>
  <si>
    <t>Kan Thar Htwat Wa</t>
  </si>
  <si>
    <t xml:space="preserve">Taung Paw </t>
  </si>
  <si>
    <t>Ba Wan Chaung Wa Su</t>
  </si>
  <si>
    <t>Ah Nauk Ywe</t>
  </si>
  <si>
    <t>Nget Chaung</t>
  </si>
  <si>
    <t>Kyein Ni Pyin</t>
  </si>
  <si>
    <t>Sin Tet Maw</t>
  </si>
  <si>
    <t>Let Saung Kauk</t>
  </si>
  <si>
    <t>Taung Bwe</t>
  </si>
  <si>
    <t>Ah Lel</t>
  </si>
  <si>
    <t>Nidin</t>
  </si>
  <si>
    <t xml:space="preserve">Ah Pauk Wa </t>
  </si>
  <si>
    <t>Ah Lel Kyun</t>
  </si>
  <si>
    <t>In Bar Yi</t>
  </si>
  <si>
    <t>Goke Pi Htaunt</t>
  </si>
  <si>
    <t>Yun Nyar</t>
  </si>
  <si>
    <t>Shwe Hlaing</t>
  </si>
  <si>
    <t>Khaung Htoke</t>
  </si>
  <si>
    <t>Nyaung Pin Gyi</t>
  </si>
  <si>
    <t>Ah Nauk Pyin</t>
  </si>
  <si>
    <t>Koe Tan Kauk/Chein Khar Li</t>
  </si>
  <si>
    <t>Ah Htet Nan Yar</t>
  </si>
  <si>
    <t>Kyauk Ta Lone</t>
  </si>
  <si>
    <t>Pha Yar Gyi Kwin</t>
  </si>
  <si>
    <t>Ramree Ward 6</t>
  </si>
  <si>
    <t>Ramree Town</t>
  </si>
  <si>
    <t>Basare</t>
  </si>
  <si>
    <t>Baw Du Pha</t>
  </si>
  <si>
    <t>Dar Pai</t>
  </si>
  <si>
    <t xml:space="preserve">Khaung Doke Khar </t>
  </si>
  <si>
    <t>Ohn Taw Gyi 1</t>
  </si>
  <si>
    <t>Phwe Yar Kone</t>
  </si>
  <si>
    <t>Say Tha Mar Gyi</t>
  </si>
  <si>
    <t>Thae Chaung</t>
  </si>
  <si>
    <t>Thae Chaung (Kyaukphyu)</t>
  </si>
  <si>
    <t xml:space="preserve">Thet Kae Pyin </t>
  </si>
  <si>
    <t>Hmanzi Junction</t>
  </si>
  <si>
    <t>Pa Lin Pyin Ywar Thit</t>
  </si>
  <si>
    <t>Bu May Ohn Taw</t>
  </si>
  <si>
    <t>Bu May Ohn Taw Shore</t>
  </si>
  <si>
    <t>Ma Gyi Myaing</t>
  </si>
  <si>
    <t>Mingan</t>
  </si>
  <si>
    <t>Danyawaddy Baw Lone Kwin</t>
  </si>
  <si>
    <t>Set Yone Su</t>
  </si>
  <si>
    <t>Dohn Taik Kwin</t>
  </si>
  <si>
    <t>Thin Pone Tan</t>
  </si>
  <si>
    <t>Dak Kaung Monastery</t>
  </si>
  <si>
    <t>Dama Set Kyar Monastery</t>
  </si>
  <si>
    <t>Gyit Chay Monastery</t>
  </si>
  <si>
    <t>Layaungwin Monastery</t>
  </si>
  <si>
    <t>Myo Ma Monastery</t>
  </si>
  <si>
    <t>Pyin Nyar Mandine Monastery</t>
  </si>
  <si>
    <t>Shwe Zay Ti Monastery</t>
  </si>
  <si>
    <t>Su Taung Pyae Monastery</t>
  </si>
  <si>
    <t>Theit Di Kar Yone Monastery</t>
  </si>
  <si>
    <t>Sin Ku Lann Monastery</t>
  </si>
  <si>
    <t>Ar Thaw Ka Yone Monastery</t>
  </si>
  <si>
    <t>Thangga Yarzar Monastery</t>
  </si>
  <si>
    <t>Kha Maung Taw Monastery</t>
  </si>
  <si>
    <t>Ma Ni Yadanar Monastery</t>
  </si>
  <si>
    <t>Gyit Bak Monastery</t>
  </si>
  <si>
    <t>Ya Tayar Monastery</t>
  </si>
  <si>
    <t>Weikzar Thaikdi Monastery</t>
  </si>
  <si>
    <t>Maw Ya Waddy</t>
  </si>
  <si>
    <t>Tha Yay Kone Baung</t>
  </si>
  <si>
    <t>Kyaing Gyi</t>
  </si>
  <si>
    <t>Baw Di Gone</t>
  </si>
  <si>
    <t>Kin Chaung</t>
  </si>
  <si>
    <t>Kan Thar Yar</t>
  </si>
  <si>
    <t>Nyaung Pin Hla</t>
  </si>
  <si>
    <t>Myoma Myauk</t>
  </si>
  <si>
    <t>Bomu Ywa</t>
  </si>
  <si>
    <t>Ywa thit Kay</t>
  </si>
  <si>
    <t>Thaung Paing Nyar</t>
  </si>
  <si>
    <t>Lamber Gone Nah</t>
  </si>
  <si>
    <t>Du Than Dar</t>
  </si>
  <si>
    <t>Alima Fara</t>
  </si>
  <si>
    <t>MMR012CMP001</t>
  </si>
  <si>
    <t>MMR012CMP002</t>
  </si>
  <si>
    <t>MMR012CMP003</t>
  </si>
  <si>
    <t>MMR012CMP004</t>
  </si>
  <si>
    <t>MMR012CMP005</t>
  </si>
  <si>
    <t>MMR012CMP006</t>
  </si>
  <si>
    <t>MMR012CMP007</t>
  </si>
  <si>
    <t>MMR012CMP008</t>
  </si>
  <si>
    <t>MMR012CMP009</t>
  </si>
  <si>
    <t>MMR012CMP010</t>
  </si>
  <si>
    <t>MMR012CMP011</t>
  </si>
  <si>
    <t>MMR012CMP012</t>
  </si>
  <si>
    <t>MMR012CMP013</t>
  </si>
  <si>
    <t>MMR012CMP014</t>
  </si>
  <si>
    <t>MMR012CMP015</t>
  </si>
  <si>
    <t>MMR012CMP016</t>
  </si>
  <si>
    <t>MMR012CMP017</t>
  </si>
  <si>
    <t>MMR012CMP018</t>
  </si>
  <si>
    <t>MMR012CMP019</t>
  </si>
  <si>
    <t>MMR012CMP020</t>
  </si>
  <si>
    <t>MMR012CMP021</t>
  </si>
  <si>
    <t>MMR012CMP022</t>
  </si>
  <si>
    <t>MMR012CMP023</t>
  </si>
  <si>
    <t>MMR012CMP024</t>
  </si>
  <si>
    <t>MMR012CMP025</t>
  </si>
  <si>
    <t>MMR012CMP026</t>
  </si>
  <si>
    <t>MMR012CMP027</t>
  </si>
  <si>
    <t>MMR012CMP028</t>
  </si>
  <si>
    <t>MMR012CMP029</t>
  </si>
  <si>
    <t>MMR012CMP030</t>
  </si>
  <si>
    <t>MMR012CMP031</t>
  </si>
  <si>
    <t>MMR012CMP032</t>
  </si>
  <si>
    <t>MMR012CMP033</t>
  </si>
  <si>
    <t>MMR012CMP034</t>
  </si>
  <si>
    <t>MMR012CMP035</t>
  </si>
  <si>
    <t>MMR012CMP036</t>
  </si>
  <si>
    <t>MMR012CMP037</t>
  </si>
  <si>
    <t>MMR012CMP038</t>
  </si>
  <si>
    <t>MMR012CMP039</t>
  </si>
  <si>
    <t>MMR012CMP040</t>
  </si>
  <si>
    <t>MMR012CMP041</t>
  </si>
  <si>
    <t>MMR012CMP042</t>
  </si>
  <si>
    <t>MMR012CMP043</t>
  </si>
  <si>
    <t>MMR012CMP044</t>
  </si>
  <si>
    <t>MMR012CMP045</t>
  </si>
  <si>
    <t>MMR012CMP046</t>
  </si>
  <si>
    <t>MMR012CMP047</t>
  </si>
  <si>
    <t>MMR012CMP048</t>
  </si>
  <si>
    <t>MMR012CMP049</t>
  </si>
  <si>
    <t>MMR012CMP050</t>
  </si>
  <si>
    <t>MMR012CMP051</t>
  </si>
  <si>
    <t>MMR012CMP052</t>
  </si>
  <si>
    <t>MMR012CMP053</t>
  </si>
  <si>
    <t>MMR012CMP054</t>
  </si>
  <si>
    <t>MMR012CMP055</t>
  </si>
  <si>
    <t>MMR012CMP056</t>
  </si>
  <si>
    <t>MMR012CMP057</t>
  </si>
  <si>
    <t>MMR012CMP058</t>
  </si>
  <si>
    <t>MMR012CMP059</t>
  </si>
  <si>
    <t>MMR012CMP060</t>
  </si>
  <si>
    <t>MMR012CMP061</t>
  </si>
  <si>
    <t>MMR012CMP062</t>
  </si>
  <si>
    <t>MMR012CMP063</t>
  </si>
  <si>
    <t>MMR012CMP064</t>
  </si>
  <si>
    <t>MMR012CMP065</t>
  </si>
  <si>
    <t>MMR012CMP066</t>
  </si>
  <si>
    <t>MMR012CMP067</t>
  </si>
  <si>
    <t>MMR012CMP068</t>
  </si>
  <si>
    <t>MMR012CMP069</t>
  </si>
  <si>
    <t>MMR012CMP070</t>
  </si>
  <si>
    <t>MMR012CMP071</t>
  </si>
  <si>
    <t>MMR012CMP072</t>
  </si>
  <si>
    <t>MMR012CMP073</t>
  </si>
  <si>
    <t>MMR012CMP074</t>
  </si>
  <si>
    <t>MMR012CMP075</t>
  </si>
  <si>
    <t>MMR012CMP076</t>
  </si>
  <si>
    <t>MMR012CMP077</t>
  </si>
  <si>
    <t>MMR012CMP078</t>
  </si>
  <si>
    <t>MMR012CMP079</t>
  </si>
  <si>
    <t>MMR012CMP080</t>
  </si>
  <si>
    <t>MMR012CMP081</t>
  </si>
  <si>
    <t>MMR012CMP082</t>
  </si>
  <si>
    <t>MMR012CMP083</t>
  </si>
  <si>
    <t>MMR012CMP084</t>
  </si>
  <si>
    <t>MMR012CMP085</t>
  </si>
  <si>
    <t>MMR012CMP086</t>
  </si>
  <si>
    <t>MMR012CMP087</t>
  </si>
  <si>
    <t>MMR012CMP088</t>
  </si>
  <si>
    <t>MMR012CMP089</t>
  </si>
  <si>
    <t>Individual (non-hosted)</t>
  </si>
  <si>
    <t>Collective Centre</t>
  </si>
  <si>
    <t>Self-Settled Camp</t>
  </si>
  <si>
    <t>Individual (Non-hosted)</t>
  </si>
  <si>
    <t xml:space="preserve">Planned Camp </t>
  </si>
  <si>
    <t xml:space="preserve"> 93.271642°</t>
  </si>
  <si>
    <t xml:space="preserve"> 20.377523°</t>
  </si>
  <si>
    <t xml:space="preserve"> 93.257272°</t>
  </si>
  <si>
    <t xml:space="preserve"> 20.392138°</t>
  </si>
  <si>
    <t xml:space="preserve"> 93.249670°</t>
  </si>
  <si>
    <t xml:space="preserve"> 20.399020°</t>
  </si>
  <si>
    <t xml:space="preserve"> 93.258476°</t>
  </si>
  <si>
    <t xml:space="preserve"> 20.554084°</t>
  </si>
  <si>
    <t xml:space="preserve"> 93.258574°</t>
  </si>
  <si>
    <t xml:space="preserve"> 20.587142°</t>
  </si>
  <si>
    <t xml:space="preserve"> 93.299485°</t>
  </si>
  <si>
    <t xml:space="preserve"> 20.480898°</t>
  </si>
  <si>
    <t xml:space="preserve"> 93.321957°</t>
  </si>
  <si>
    <t xml:space="preserve"> 20.403736°</t>
  </si>
  <si>
    <t xml:space="preserve"> 93.313628°</t>
  </si>
  <si>
    <t xml:space="preserve"> 20.407971°</t>
  </si>
  <si>
    <t xml:space="preserve"> 93.245551°</t>
  </si>
  <si>
    <t xml:space="preserve"> 20.576577°</t>
  </si>
  <si>
    <t xml:space="preserve"> 93.217040°</t>
  </si>
  <si>
    <t xml:space="preserve"> 20.501758°</t>
  </si>
  <si>
    <t xml:space="preserve"> 93.187996°</t>
  </si>
  <si>
    <t xml:space="preserve"> 20.589569°</t>
  </si>
  <si>
    <t xml:space="preserve"> 93.239520°</t>
  </si>
  <si>
    <t xml:space="preserve"> 20.616920°</t>
  </si>
  <si>
    <t xml:space="preserve"> 93.373951°</t>
  </si>
  <si>
    <t xml:space="preserve"> 20.041981°</t>
  </si>
  <si>
    <t xml:space="preserve"> 93.370038°</t>
  </si>
  <si>
    <t xml:space="preserve"> 20.037655°</t>
  </si>
  <si>
    <t xml:space="preserve"> 93.067891°</t>
  </si>
  <si>
    <t xml:space="preserve"> 20.173468°</t>
  </si>
  <si>
    <t xml:space="preserve"> 92.985095°</t>
  </si>
  <si>
    <t xml:space="preserve"> 20.108102°</t>
  </si>
  <si>
    <t xml:space="preserve"> 93.154552°</t>
  </si>
  <si>
    <t xml:space="preserve"> 20.073438°</t>
  </si>
  <si>
    <t xml:space="preserve"> 93.010369°</t>
  </si>
  <si>
    <t xml:space="preserve"> 20.090183°</t>
  </si>
  <si>
    <t xml:space="preserve"> 92.993759°</t>
  </si>
  <si>
    <t xml:space="preserve"> 20.064226°</t>
  </si>
  <si>
    <t xml:space="preserve"> 92.982676°</t>
  </si>
  <si>
    <t xml:space="preserve"> 20.805734°</t>
  </si>
  <si>
    <t xml:space="preserve"> 93.000815°</t>
  </si>
  <si>
    <t xml:space="preserve"> 20.929649°</t>
  </si>
  <si>
    <t xml:space="preserve"> 93.003205°</t>
  </si>
  <si>
    <t xml:space="preserve"> 20.921425°</t>
  </si>
  <si>
    <t xml:space="preserve"> 92.965981°</t>
  </si>
  <si>
    <t xml:space="preserve"> 20.865687°</t>
  </si>
  <si>
    <t xml:space="preserve"> 92.961841°</t>
  </si>
  <si>
    <t xml:space="preserve"> 20.720213°</t>
  </si>
  <si>
    <t xml:space="preserve"> 93.014350°</t>
  </si>
  <si>
    <t xml:space="preserve"> 20.896740°</t>
  </si>
  <si>
    <t xml:space="preserve"> 93.009900°</t>
  </si>
  <si>
    <t xml:space="preserve"> 20.696820°</t>
  </si>
  <si>
    <t xml:space="preserve"> 93.014090°</t>
  </si>
  <si>
    <t xml:space="preserve"> 20.713260°</t>
  </si>
  <si>
    <t xml:space="preserve"> 92.969350°</t>
  </si>
  <si>
    <t xml:space="preserve"> 20.727590°</t>
  </si>
  <si>
    <t xml:space="preserve"> 92.987400°</t>
  </si>
  <si>
    <t xml:space="preserve"> 20.783320°</t>
  </si>
  <si>
    <t xml:space="preserve"> 93.006498°</t>
  </si>
  <si>
    <t xml:space="preserve"> 20.886998°</t>
  </si>
  <si>
    <t xml:space="preserve"> 92.786301°</t>
  </si>
  <si>
    <t xml:space="preserve"> 20.336254°</t>
  </si>
  <si>
    <t xml:space="preserve"> 92.780916°</t>
  </si>
  <si>
    <t xml:space="preserve"> 20.399271°</t>
  </si>
  <si>
    <t xml:space="preserve"> 92.650180°</t>
  </si>
  <si>
    <t xml:space="preserve"> 20.432280°</t>
  </si>
  <si>
    <t xml:space="preserve"> 93.512326°</t>
  </si>
  <si>
    <t xml:space="preserve"> 19.424577°</t>
  </si>
  <si>
    <t xml:space="preserve"> 93.552452°</t>
  </si>
  <si>
    <t xml:space="preserve"> 19.421102°</t>
  </si>
  <si>
    <t xml:space="preserve"> 93.857593°</t>
  </si>
  <si>
    <t xml:space="preserve"> 19.088283°</t>
  </si>
  <si>
    <t xml:space="preserve"> 92.875814°</t>
  </si>
  <si>
    <t xml:space="preserve"> 20.128489°</t>
  </si>
  <si>
    <t xml:space="preserve"> 92.807419°</t>
  </si>
  <si>
    <t xml:space="preserve"> 20.181238°</t>
  </si>
  <si>
    <t xml:space="preserve"> 92.827427°</t>
  </si>
  <si>
    <t xml:space="preserve"> 20.168460°</t>
  </si>
  <si>
    <t xml:space="preserve"> 92.823167°</t>
  </si>
  <si>
    <t xml:space="preserve"> 20.181778°</t>
  </si>
  <si>
    <t xml:space="preserve"> 92.798677°</t>
  </si>
  <si>
    <t xml:space="preserve"> 20.187751°</t>
  </si>
  <si>
    <t xml:space="preserve"> 92.788177°</t>
  </si>
  <si>
    <t xml:space="preserve"> 20.207285°</t>
  </si>
  <si>
    <t xml:space="preserve"> 92.792480°</t>
  </si>
  <si>
    <t xml:space="preserve"> 20.202525°</t>
  </si>
  <si>
    <t xml:space="preserve"> 92.839417°</t>
  </si>
  <si>
    <t xml:space="preserve"> 20.158500°</t>
  </si>
  <si>
    <t xml:space="preserve"> 92.837577°</t>
  </si>
  <si>
    <t xml:space="preserve"> 20.156842°</t>
  </si>
  <si>
    <t xml:space="preserve"> 92.842230°</t>
  </si>
  <si>
    <t xml:space="preserve"> 20.181742°</t>
  </si>
  <si>
    <t xml:space="preserve"> 92.826407°</t>
  </si>
  <si>
    <t xml:space="preserve"> 20.175169°</t>
  </si>
  <si>
    <t xml:space="preserve"> 92.792959°</t>
  </si>
  <si>
    <t xml:space="preserve"> 20.205295°</t>
  </si>
  <si>
    <t xml:space="preserve"> 92.847967°</t>
  </si>
  <si>
    <t xml:space="preserve"> 20.147108°</t>
  </si>
  <si>
    <t xml:space="preserve"> 92.848348°</t>
  </si>
  <si>
    <t xml:space="preserve"> 20.133385°</t>
  </si>
  <si>
    <t xml:space="preserve"> 92.886890°</t>
  </si>
  <si>
    <t xml:space="preserve"> 20.132695°</t>
  </si>
  <si>
    <t xml:space="preserve"> 92.860599°</t>
  </si>
  <si>
    <t xml:space="preserve"> 20.154343°</t>
  </si>
  <si>
    <t xml:space="preserve"> 92.889384°</t>
  </si>
  <si>
    <t xml:space="preserve"> 20.135474°</t>
  </si>
  <si>
    <t xml:space="preserve"> 92.880320°</t>
  </si>
  <si>
    <t xml:space="preserve"> 20.148584°</t>
  </si>
  <si>
    <t xml:space="preserve"> 92.897178°</t>
  </si>
  <si>
    <t xml:space="preserve"> 20.153129°</t>
  </si>
  <si>
    <t xml:space="preserve"> 92.836861°</t>
  </si>
  <si>
    <t xml:space="preserve"> 20.226865°</t>
  </si>
  <si>
    <t xml:space="preserve"> 92.894568°</t>
  </si>
  <si>
    <t xml:space="preserve"> 20.145585°</t>
  </si>
  <si>
    <t xml:space="preserve"> 92.898398°</t>
  </si>
  <si>
    <t xml:space="preserve"> 20.152559°</t>
  </si>
  <si>
    <t xml:space="preserve"> 92.896409°</t>
  </si>
  <si>
    <t xml:space="preserve"> 20.153754°</t>
  </si>
  <si>
    <t xml:space="preserve"> 92.896006°</t>
  </si>
  <si>
    <t xml:space="preserve"> 20.154331°</t>
  </si>
  <si>
    <t xml:space="preserve"> 92.897783°</t>
  </si>
  <si>
    <t xml:space="preserve"> 20.151050°</t>
  </si>
  <si>
    <t xml:space="preserve"> 92.896944°</t>
  </si>
  <si>
    <t xml:space="preserve"> 20.150892°</t>
  </si>
  <si>
    <t xml:space="preserve"> 92.894500°</t>
  </si>
  <si>
    <t xml:space="preserve"> 20.146200°</t>
  </si>
  <si>
    <t xml:space="preserve"> 92.888950°</t>
  </si>
  <si>
    <t xml:space="preserve"> 20.125033°</t>
  </si>
  <si>
    <t xml:space="preserve"> 92.896418°</t>
  </si>
  <si>
    <t xml:space="preserve"> 20.152895°</t>
  </si>
  <si>
    <t xml:space="preserve"> 92.897933°</t>
  </si>
  <si>
    <t xml:space="preserve"> 20.155850°</t>
  </si>
  <si>
    <t xml:space="preserve"> 92.895900°</t>
  </si>
  <si>
    <t xml:space="preserve"> 20.153800°</t>
  </si>
  <si>
    <t xml:space="preserve"> 92.892432°</t>
  </si>
  <si>
    <t xml:space="preserve"> 20.146041°</t>
  </si>
  <si>
    <t xml:space="preserve"> 92.894450°</t>
  </si>
  <si>
    <t xml:space="preserve"> 20.147100°</t>
  </si>
  <si>
    <t xml:space="preserve"> 92.893904°</t>
  </si>
  <si>
    <t xml:space="preserve"> 20.146673°</t>
  </si>
  <si>
    <t xml:space="preserve"> 92.895600°</t>
  </si>
  <si>
    <t xml:space="preserve"> 20.146917°</t>
  </si>
  <si>
    <t xml:space="preserve"> 92.893333°</t>
  </si>
  <si>
    <t xml:space="preserve"> 20.146117°</t>
  </si>
  <si>
    <t xml:space="preserve"> 92.896533°</t>
  </si>
  <si>
    <t xml:space="preserve"> 20.154650°</t>
  </si>
  <si>
    <t>Organization</t>
  </si>
  <si>
    <t>Hygiene Family Kit</t>
  </si>
  <si>
    <t>NFI Core Kit</t>
  </si>
  <si>
    <t>Women's Sanitary Kit</t>
  </si>
  <si>
    <t>Mosquito Nets</t>
  </si>
  <si>
    <t>Tarpaulins</t>
  </si>
  <si>
    <t>Stock in Balance</t>
  </si>
  <si>
    <t>Date Updated</t>
  </si>
  <si>
    <t>Pipeline</t>
  </si>
  <si>
    <t>ETA</t>
  </si>
  <si>
    <t>Distribution Date</t>
  </si>
  <si>
    <t>Implementing Partner</t>
  </si>
  <si>
    <t>Row Labels</t>
  </si>
  <si>
    <t>Grand Total</t>
  </si>
  <si>
    <t># of Camps</t>
  </si>
  <si>
    <t>Population</t>
  </si>
  <si>
    <t>Households</t>
  </si>
  <si>
    <t>CAMPS SUMMARY</t>
  </si>
  <si>
    <t>DETAILED CAMP LIST</t>
  </si>
  <si>
    <t>CLUSTER REPORT</t>
  </si>
  <si>
    <t>(Select State)</t>
  </si>
  <si>
    <t>Temporary Shelter Planned</t>
  </si>
  <si>
    <t>Temporary Shelter Built</t>
  </si>
  <si>
    <t>Temporary Shelter Under Construction</t>
  </si>
  <si>
    <t>SHELTER PROGRESS</t>
  </si>
  <si>
    <t>Total # of HH</t>
  </si>
  <si>
    <t>Total # of Population</t>
  </si>
  <si>
    <t xml:space="preserve"> Coverage (in Pop)</t>
  </si>
  <si>
    <t>Tents Distributed</t>
  </si>
  <si>
    <t>Permanent Shelter Built</t>
  </si>
  <si>
    <t>Permament Shelter Under Construction</t>
  </si>
  <si>
    <t>Permanent Shelter Planned</t>
  </si>
  <si>
    <t>Coverage (HH)</t>
  </si>
  <si>
    <t>NFI TRACKING SHEET</t>
  </si>
  <si>
    <t>Blanket</t>
  </si>
  <si>
    <t>Kitchen Set</t>
  </si>
  <si>
    <t>Dist.</t>
  </si>
  <si>
    <t>Gap (HH)</t>
  </si>
  <si>
    <t>Months</t>
  </si>
  <si>
    <t>Instock</t>
  </si>
  <si>
    <t>Bar charts</t>
  </si>
  <si>
    <t>Stateless</t>
  </si>
  <si>
    <t>SE</t>
  </si>
  <si>
    <t>Total # of Camp</t>
  </si>
  <si>
    <t>Coverage</t>
  </si>
  <si>
    <t>GAP</t>
  </si>
  <si>
    <t>Shelter Situation</t>
  </si>
  <si>
    <t>High priority                                                               4,151 (749 HH) in tents or makeshift shelter</t>
  </si>
  <si>
    <t>High priority                                                               3,732 (19,895 HH) in tents or makeshift shelter</t>
  </si>
  <si>
    <t>Settings</t>
  </si>
  <si>
    <t>Maximum Population Value</t>
  </si>
  <si>
    <t>High priority - makeshift emergency shelter</t>
  </si>
  <si>
    <t>Circle Width Distortion Percentage</t>
  </si>
  <si>
    <t>High priority - 6000 (1000HH) in temporary shelter) but 8800 (1460HH) in tents</t>
  </si>
  <si>
    <t>Max font size</t>
  </si>
  <si>
    <t># of People</t>
  </si>
  <si>
    <t>High priority - tents/makeshift shelter</t>
  </si>
  <si>
    <t>* If the circes are not appearing properly over the refugee camps, adjust the 'Left Offset' and 'Right Offset' until it appears in the right place</t>
  </si>
  <si>
    <t xml:space="preserve">High priority -  tents/makeshift shelter  </t>
  </si>
  <si>
    <t xml:space="preserve">High priority - tents/makeshift shelter    </t>
  </si>
  <si>
    <t xml:space="preserve">High priority -  tents/makeshift shelter </t>
  </si>
  <si>
    <t>High priority, located next to shore &amp; makeshift shelter</t>
  </si>
  <si>
    <t>Size of population</t>
  </si>
  <si>
    <t>1-1,000</t>
  </si>
  <si>
    <t>1,001-5,000</t>
  </si>
  <si>
    <t>5,001-10,000</t>
  </si>
  <si>
    <t>Over 10,000</t>
  </si>
  <si>
    <t># of IDP</t>
  </si>
  <si>
    <t>% of total IDP</t>
  </si>
  <si>
    <t># of camps by Size of Population</t>
  </si>
  <si>
    <t>% of IDP</t>
  </si>
  <si>
    <t>Dashboards</t>
  </si>
  <si>
    <t>Myanmar</t>
  </si>
  <si>
    <t>CCCM</t>
  </si>
  <si>
    <t>Shelter</t>
  </si>
  <si>
    <t>NFI</t>
  </si>
  <si>
    <t>3W</t>
  </si>
  <si>
    <t>Contact List</t>
  </si>
  <si>
    <t>Report &amp; Analysis</t>
  </si>
  <si>
    <t>Ohn Taw Gyi 3</t>
  </si>
  <si>
    <t>Thet Kae Pyin Host Family</t>
  </si>
  <si>
    <t>Maw Ti Ngar (TKP west)</t>
  </si>
  <si>
    <t>Set Yone Su 3</t>
  </si>
  <si>
    <t>MahaKuthaLa</t>
  </si>
  <si>
    <t>U Ye Kyaw Thu</t>
  </si>
  <si>
    <t>Ywar Gyi</t>
  </si>
  <si>
    <t>Sit Kae Taw Min</t>
  </si>
  <si>
    <t>Phyin Nyar Ag Myay</t>
  </si>
  <si>
    <t>Kaw Nyar Na</t>
  </si>
  <si>
    <t>Phon Nyar Yar Ma</t>
  </si>
  <si>
    <t>Mahar Zay Ya Theik</t>
  </si>
  <si>
    <t>Tha Ma Da ZTK</t>
  </si>
  <si>
    <t>Khaung Laung</t>
  </si>
  <si>
    <t>TanTan</t>
  </si>
  <si>
    <t>Nyar Ni Kar Ya Ma</t>
  </si>
  <si>
    <t>Boke Daw Maw</t>
  </si>
  <si>
    <t>Kyar Yoke</t>
  </si>
  <si>
    <t>Dama Yar Ma</t>
  </si>
  <si>
    <t>KyaungGyiLan</t>
  </si>
  <si>
    <t>MaYarMaGyi-old</t>
  </si>
  <si>
    <t>PyinNyarLinkarya</t>
  </si>
  <si>
    <t>Kha Maung Taw</t>
  </si>
  <si>
    <t>Ka Yu Chaung</t>
  </si>
  <si>
    <t>Uwa Ya Ma</t>
  </si>
  <si>
    <t>Shwe Pyar</t>
  </si>
  <si>
    <t>Bamgalar A Wa Kune</t>
  </si>
  <si>
    <t>DamaYeikThar</t>
  </si>
  <si>
    <t>Tayzindayama</t>
  </si>
  <si>
    <t>OhnTaPin</t>
  </si>
  <si>
    <t>MyaTheinTan</t>
  </si>
  <si>
    <t>YadaNarMinDaing</t>
  </si>
  <si>
    <t>MinnGanHighSchool</t>
  </si>
  <si>
    <t>Khaymarmandine</t>
  </si>
  <si>
    <t>Thet Kay Pyin School</t>
  </si>
  <si>
    <t>Baw Du Pha 3</t>
  </si>
  <si>
    <t>Ohn Taw Gyi 2</t>
  </si>
  <si>
    <t>Ohn Taw Gyi 4</t>
  </si>
  <si>
    <t>Ohn Taw Gyi 5</t>
  </si>
  <si>
    <t>NA</t>
  </si>
  <si>
    <t xml:space="preserve"> 92.640022°</t>
  </si>
  <si>
    <t xml:space="preserve"> 20.569219°</t>
  </si>
  <si>
    <t xml:space="preserve"> 92.429600°</t>
  </si>
  <si>
    <t xml:space="preserve"> 20.729867°</t>
  </si>
  <si>
    <t xml:space="preserve"> 92.416264°</t>
  </si>
  <si>
    <t xml:space="preserve"> 20.796128°</t>
  </si>
  <si>
    <t xml:space="preserve"> 92.424139°</t>
  </si>
  <si>
    <t xml:space="preserve"> 20.762731°</t>
  </si>
  <si>
    <t xml:space="preserve"> 92.423364°</t>
  </si>
  <si>
    <t xml:space="preserve"> 20.801544°</t>
  </si>
  <si>
    <t xml:space="preserve"> 92.362197°</t>
  </si>
  <si>
    <t xml:space="preserve"> 20.824778°</t>
  </si>
  <si>
    <t xml:space="preserve"> 92.362933°</t>
  </si>
  <si>
    <t xml:space="preserve"> 20.827044°</t>
  </si>
  <si>
    <t xml:space="preserve"> 92.365794°</t>
  </si>
  <si>
    <t xml:space="preserve"> 20.819958°</t>
  </si>
  <si>
    <t xml:space="preserve"> 92.367853°</t>
  </si>
  <si>
    <t xml:space="preserve"> 20.825306°</t>
  </si>
  <si>
    <t xml:space="preserve"> 92.401294°</t>
  </si>
  <si>
    <t xml:space="preserve"> 20.824517°</t>
  </si>
  <si>
    <t xml:space="preserve"> 92.426886°</t>
  </si>
  <si>
    <t xml:space="preserve"> 20.717331°</t>
  </si>
  <si>
    <t xml:space="preserve"> 92.443428°</t>
  </si>
  <si>
    <t xml:space="preserve"> 20.714847°</t>
  </si>
  <si>
    <t xml:space="preserve"> 92.435075°</t>
  </si>
  <si>
    <t xml:space="preserve"> 20.714533°</t>
  </si>
  <si>
    <t>Sin Tet Maw (Nget Chaung IDP)</t>
  </si>
  <si>
    <t>MMR012CMP096</t>
  </si>
  <si>
    <t>MMR012CMP090</t>
  </si>
  <si>
    <t>92.800694°</t>
  </si>
  <si>
    <t>20.190056°</t>
  </si>
  <si>
    <t>MMR012CMP091</t>
  </si>
  <si>
    <t>MMR012CMP092</t>
  </si>
  <si>
    <t>MMR012CMP093</t>
  </si>
  <si>
    <t xml:space="preserve"> 92.879139°</t>
  </si>
  <si>
    <r>
      <t>20.155806</t>
    </r>
    <r>
      <rPr>
        <sz val="11"/>
        <rFont val="Calibri"/>
        <family val="2"/>
      </rPr>
      <t>°</t>
    </r>
  </si>
  <si>
    <t>Sin Thay Pyin</t>
  </si>
  <si>
    <t>MMR012CMP094</t>
  </si>
  <si>
    <t xml:space="preserve"> 92.338031°</t>
  </si>
  <si>
    <t xml:space="preserve"> 21.066664°</t>
  </si>
  <si>
    <t>Ward-6</t>
  </si>
  <si>
    <t>MMR012CMP095</t>
  </si>
  <si>
    <t xml:space="preserve"> 92.416683°</t>
  </si>
  <si>
    <t xml:space="preserve"> 20.833831°</t>
  </si>
  <si>
    <t>UNHCR</t>
  </si>
  <si>
    <t>Muslim Aid</t>
  </si>
  <si>
    <t xml:space="preserve">UNICEF </t>
  </si>
  <si>
    <t>DRC</t>
  </si>
  <si>
    <t>KOICAT</t>
  </si>
  <si>
    <t>Da Ma Set Kyar</t>
  </si>
  <si>
    <t>San Gar Taung</t>
  </si>
  <si>
    <t>Solidarities International</t>
  </si>
  <si>
    <t>Government</t>
  </si>
  <si>
    <t>MRF/ACT</t>
  </si>
  <si>
    <t>MRCS</t>
  </si>
  <si>
    <t>MAUK</t>
  </si>
  <si>
    <t>WFP</t>
  </si>
  <si>
    <t>IRW</t>
  </si>
  <si>
    <t>Service City</t>
  </si>
  <si>
    <t>Org</t>
  </si>
  <si>
    <t>UNICEF</t>
  </si>
  <si>
    <t>Gap</t>
  </si>
  <si>
    <t>Quantity/HH</t>
  </si>
  <si>
    <t>Requirement</t>
  </si>
  <si>
    <t>Distributed</t>
  </si>
  <si>
    <t>In Stock</t>
  </si>
  <si>
    <t>Requirement</t>
  </si>
  <si>
    <t>Remaining Need</t>
  </si>
  <si>
    <t>Hygiene Kit</t>
  </si>
  <si>
    <t>Sanitary Kit</t>
  </si>
  <si>
    <t>Mosquitoe net</t>
  </si>
  <si>
    <t>Tarpaulin</t>
  </si>
  <si>
    <t>Compalimentary Kits</t>
  </si>
  <si>
    <t>NFI SUMMARY</t>
  </si>
  <si>
    <t>NFI DISTRIBUTION BY TOWNSHIP</t>
  </si>
  <si>
    <t>NFI SUMMARY BY AGENCY</t>
  </si>
  <si>
    <t>Permanent House Built</t>
  </si>
  <si>
    <t>Permanent House Under Construction</t>
  </si>
  <si>
    <t>30.5.2013</t>
  </si>
  <si>
    <t>KBSS</t>
  </si>
  <si>
    <t>KBC</t>
  </si>
  <si>
    <t>Loi Za</t>
  </si>
  <si>
    <t>Man Si</t>
  </si>
  <si>
    <t>SHELTER SUMMARY BY AGENCY</t>
  </si>
  <si>
    <t>State_Region</t>
  </si>
  <si>
    <t>TS_Pcode</t>
  </si>
  <si>
    <t>Camp_Name</t>
  </si>
  <si>
    <t>Camp_Pcode</t>
  </si>
  <si>
    <t>NFI_Hygiene_Stock</t>
  </si>
  <si>
    <t>NFI_Core_Stock</t>
  </si>
  <si>
    <t>NFI_Sanitary_Stock</t>
  </si>
  <si>
    <t>NFI_Tarpaulin_Stock</t>
  </si>
  <si>
    <t>NFI_Blanket_Stock</t>
  </si>
  <si>
    <t>NFI_Kitchen_Stock</t>
  </si>
  <si>
    <t>NFI_Tarpaulin_Pipeline</t>
  </si>
  <si>
    <t>NFI_Blanket_Pipeline</t>
  </si>
  <si>
    <t>NFI_Kitchen_Pipeline</t>
  </si>
  <si>
    <t>NFI_Mosquito_Stock</t>
  </si>
  <si>
    <t>NFI_Hygiene_Pipeline</t>
  </si>
  <si>
    <t>NFI_Core_Pipeline</t>
  </si>
  <si>
    <t>NFI_Sanitary_Pipeline</t>
  </si>
  <si>
    <t>NFI_Mosquito_Pipeline</t>
  </si>
  <si>
    <t>NFI_Blanket_Track</t>
  </si>
  <si>
    <t>NFI_Hygiene_Track</t>
  </si>
  <si>
    <t>NFI_Kitchen_Track</t>
  </si>
  <si>
    <t>NFI_Mosquito_Track</t>
  </si>
  <si>
    <t>NFI_Core_Track</t>
  </si>
  <si>
    <t>NFI_Sanitary_Track</t>
  </si>
  <si>
    <t>NFI_Tarpaulin_Track</t>
  </si>
  <si>
    <t>Mosquito Net</t>
  </si>
  <si>
    <t>Complementary Kit</t>
  </si>
  <si>
    <t>NFI_Complementary_Track</t>
  </si>
  <si>
    <t>NFI_Complementary_Stock</t>
  </si>
  <si>
    <t>NFI_Complementary_Pipeline</t>
  </si>
  <si>
    <t>Complemantary Kit</t>
  </si>
  <si>
    <t>Hygiene Kit2</t>
  </si>
  <si>
    <t>NFI Core Kit3</t>
  </si>
  <si>
    <t>Sanitary Kit4</t>
  </si>
  <si>
    <t>Mosquitoe net5</t>
  </si>
  <si>
    <t>Tarpaulin6</t>
  </si>
  <si>
    <t>Blanket7</t>
  </si>
  <si>
    <t>Kitchen Set8</t>
  </si>
  <si>
    <t>Complementary Kit9</t>
  </si>
  <si>
    <t>Label</t>
  </si>
  <si>
    <t>Stock</t>
  </si>
  <si>
    <t>Distribution</t>
  </si>
  <si>
    <t>NB</t>
  </si>
  <si>
    <t>Expiration (month)</t>
  </si>
  <si>
    <t>Avg</t>
  </si>
  <si>
    <t>State_Pcode</t>
  </si>
  <si>
    <t>Township_Pcode</t>
  </si>
  <si>
    <t>VillageTrackWard_Name</t>
  </si>
  <si>
    <t>Village_Name</t>
  </si>
  <si>
    <t>VillageTrackWard_Pcode</t>
  </si>
  <si>
    <t>Village_Pcode</t>
  </si>
  <si>
    <t>Source</t>
  </si>
  <si>
    <t>Method</t>
  </si>
  <si>
    <t>Not Accessible</t>
  </si>
  <si>
    <t>Accessible by All</t>
  </si>
  <si>
    <t>Accessibility Restricted</t>
  </si>
  <si>
    <t>Comment</t>
  </si>
  <si>
    <t xml:space="preserve"> </t>
  </si>
  <si>
    <t>Accessibility</t>
  </si>
  <si>
    <t>Reported date</t>
  </si>
  <si>
    <t>Sector</t>
  </si>
  <si>
    <t>Status</t>
  </si>
  <si>
    <t>Indicator</t>
  </si>
  <si>
    <t>Monitoring Date</t>
  </si>
  <si>
    <t>Value</t>
  </si>
  <si>
    <t>Reporting Partner</t>
  </si>
  <si>
    <t>Health</t>
  </si>
  <si>
    <t xml:space="preserve">Hygiene Kit </t>
  </si>
  <si>
    <t xml:space="preserve">NFI Core Kit </t>
  </si>
  <si>
    <t xml:space="preserve"> Sanitary Kit </t>
  </si>
  <si>
    <t xml:space="preserve">Mosquitoe net </t>
  </si>
  <si>
    <t xml:space="preserve">Tarpaulin </t>
  </si>
  <si>
    <t xml:space="preserve"> Blanket </t>
  </si>
  <si>
    <t xml:space="preserve"> Kitchen Set </t>
  </si>
  <si>
    <t>Indicators Tracking Sheet</t>
  </si>
  <si>
    <t>Camp_Acessibility</t>
  </si>
  <si>
    <t>Open</t>
  </si>
  <si>
    <t>Close</t>
  </si>
  <si>
    <t>Update Date</t>
  </si>
  <si>
    <t>MMR012</t>
  </si>
  <si>
    <t>MMR012005</t>
  </si>
  <si>
    <t>MMR012005017</t>
  </si>
  <si>
    <t>Tha Yet Oke</t>
  </si>
  <si>
    <t>MMR012005009</t>
  </si>
  <si>
    <t>San Bar Lay</t>
  </si>
  <si>
    <t>MMR012005001</t>
  </si>
  <si>
    <t>Kin Seik</t>
  </si>
  <si>
    <t>MMR012005003</t>
  </si>
  <si>
    <t>Chaik Taung</t>
  </si>
  <si>
    <t>MMR012005032</t>
  </si>
  <si>
    <t>Sa Par Htar</t>
  </si>
  <si>
    <t>MMR012005018</t>
  </si>
  <si>
    <t>Shwe Ta Mar</t>
  </si>
  <si>
    <t>MMR012003</t>
  </si>
  <si>
    <t>MMR012003026</t>
  </si>
  <si>
    <t>Yin Thei</t>
  </si>
  <si>
    <t>Pu Rein</t>
  </si>
  <si>
    <t>MMR012003004</t>
  </si>
  <si>
    <t>MMR012003006</t>
  </si>
  <si>
    <t>Sin Oe</t>
  </si>
  <si>
    <t>MMR012007</t>
  </si>
  <si>
    <t>MMR012006</t>
  </si>
  <si>
    <t>MMR012007012</t>
  </si>
  <si>
    <t>Pon Nar Gyi</t>
  </si>
  <si>
    <t>MMR012007051</t>
  </si>
  <si>
    <t>MMR012007049</t>
  </si>
  <si>
    <t>Pein Hne Chaung</t>
  </si>
  <si>
    <t>MMR012006001</t>
  </si>
  <si>
    <t>Ah Ngu</t>
  </si>
  <si>
    <t>MMR012004</t>
  </si>
  <si>
    <t>MMR012004063</t>
  </si>
  <si>
    <t>Doke Kan Chaung</t>
  </si>
  <si>
    <t>MMR012004030</t>
  </si>
  <si>
    <t>Khaung Toke</t>
  </si>
  <si>
    <t>MMR012004074</t>
  </si>
  <si>
    <t>MMR012004064</t>
  </si>
  <si>
    <t>Ah Pauk Wa</t>
  </si>
  <si>
    <t>MMR012004069</t>
  </si>
  <si>
    <t>Sin Oe Chaing</t>
  </si>
  <si>
    <t>MMR012004028</t>
  </si>
  <si>
    <t>Wa Kin</t>
  </si>
  <si>
    <t>MMR012004019</t>
  </si>
  <si>
    <t>Ya Da Nar Pon</t>
  </si>
  <si>
    <t>MMR012004046</t>
  </si>
  <si>
    <t>Hpa Yar Paung</t>
  </si>
  <si>
    <t>MMR012004031</t>
  </si>
  <si>
    <t>MMR012008</t>
  </si>
  <si>
    <t>MMR012008031</t>
  </si>
  <si>
    <t>Koe Tan Kauk</t>
  </si>
  <si>
    <t>MMR012008006</t>
  </si>
  <si>
    <t>Chut Pyin</t>
  </si>
  <si>
    <t>MMR012008072</t>
  </si>
  <si>
    <t>MMR012008082</t>
  </si>
  <si>
    <t>MMR012013</t>
  </si>
  <si>
    <t>MMR012011</t>
  </si>
  <si>
    <t>MMR012013020</t>
  </si>
  <si>
    <t>Kha Maung Chi Taing</t>
  </si>
  <si>
    <t>MMR012011002</t>
  </si>
  <si>
    <t>Taung Yin</t>
  </si>
  <si>
    <t>Gone Chein</t>
  </si>
  <si>
    <t>MMR012011006</t>
  </si>
  <si>
    <t>MMR012001</t>
  </si>
  <si>
    <t>MMR012001010</t>
  </si>
  <si>
    <t>Say Tha Mar</t>
  </si>
  <si>
    <t>MMR012001027</t>
  </si>
  <si>
    <t>Bu May</t>
  </si>
  <si>
    <t>MMR012001025</t>
  </si>
  <si>
    <t>Khaung Doke Kar</t>
  </si>
  <si>
    <t>MMR012001005</t>
  </si>
  <si>
    <t>Aung Daing</t>
  </si>
  <si>
    <t>MMR012001701526</t>
  </si>
  <si>
    <t>Set Yon Su Ward</t>
  </si>
  <si>
    <t>Ywar Gyi (North) Ward</t>
  </si>
  <si>
    <t>MMR012001701515</t>
  </si>
  <si>
    <t>MMR012001701523</t>
  </si>
  <si>
    <t>Ye New Su Ward</t>
  </si>
  <si>
    <t>Min Gan Ward</t>
  </si>
  <si>
    <t>MMR012001701532</t>
  </si>
  <si>
    <t>Baw Lone Kwin Ward</t>
  </si>
  <si>
    <t>MMR012001701528</t>
  </si>
  <si>
    <t>Kyaung Tet Lan Ward</t>
  </si>
  <si>
    <t>MMR012001701519</t>
  </si>
  <si>
    <t>Bauk Thee Su Ward</t>
  </si>
  <si>
    <t>Sin Ku Lan Ward</t>
  </si>
  <si>
    <t xml:space="preserve"> Bauk Thee Su Ward</t>
  </si>
  <si>
    <t>Baung Dut Ward</t>
  </si>
  <si>
    <t>Pyi Taw Thar Ward</t>
  </si>
  <si>
    <t>Ywar Gyi (South) Ward</t>
  </si>
  <si>
    <t>MMR012001701518</t>
  </si>
  <si>
    <t>MMR012001701512</t>
  </si>
  <si>
    <t>MMR012001701517</t>
  </si>
  <si>
    <t>MMR012001701520</t>
  </si>
  <si>
    <t>MMR012001701516</t>
  </si>
  <si>
    <t>`</t>
  </si>
  <si>
    <t>CARE</t>
  </si>
  <si>
    <t>MMR012009080</t>
  </si>
  <si>
    <t>Tha Yae Kone Tan</t>
  </si>
  <si>
    <t>MMR012009</t>
  </si>
  <si>
    <t>Myo Ma (North) Ward</t>
  </si>
  <si>
    <t>MMR012009701503</t>
  </si>
  <si>
    <t>MMR012009078</t>
  </si>
  <si>
    <t>Zaw Ma Tet</t>
  </si>
  <si>
    <t>MMR012009063</t>
  </si>
  <si>
    <t>Myo Thu Gyi</t>
  </si>
  <si>
    <t>MMR012009075</t>
  </si>
  <si>
    <t>Than Dar</t>
  </si>
  <si>
    <t>Ba Gone Nar</t>
  </si>
  <si>
    <t>MMR012009066</t>
  </si>
  <si>
    <t>Ywar Thit Kay Ward</t>
  </si>
  <si>
    <t>MMR012009701505</t>
  </si>
  <si>
    <t>Hin Thar Ya</t>
  </si>
  <si>
    <t>Kan Thar Yar(No standard name yet)</t>
  </si>
  <si>
    <t>MMR012009025</t>
  </si>
  <si>
    <t>Laung Don</t>
  </si>
  <si>
    <t>Laung Done Zay Di Pyin</t>
  </si>
  <si>
    <t>Baw Di Kone(No standard name yet</t>
  </si>
  <si>
    <t>(Du) Chee Yar Tan</t>
  </si>
  <si>
    <t>MMR012009069</t>
  </si>
  <si>
    <t>King Chaung(No standard name yet)</t>
  </si>
  <si>
    <t>Myo Thu Gyi (Yar Zar Bi)</t>
  </si>
  <si>
    <t>Ywar Haung</t>
  </si>
  <si>
    <t>Tha Ray Kon Baung</t>
  </si>
  <si>
    <t>Say Poke Kay</t>
  </si>
  <si>
    <t>Ka Nyin Taw</t>
  </si>
  <si>
    <t>Khaung Toke (Ku Lar)</t>
  </si>
  <si>
    <t>Goke Pi Htaunt (Ku Lar)</t>
  </si>
  <si>
    <t>Shwe Hlaing Ku Lar</t>
  </si>
  <si>
    <t>Ni Din</t>
  </si>
  <si>
    <t>Ku Lar Taung Bway</t>
  </si>
  <si>
    <t>Taung Pauk</t>
  </si>
  <si>
    <t>Ah Lel Kyun Ku Lar</t>
  </si>
  <si>
    <t>Kan Thar Htwet Wa Ward</t>
  </si>
  <si>
    <t>MMR012006701502</t>
  </si>
  <si>
    <t>Zi War</t>
  </si>
  <si>
    <t>Thar Dar</t>
  </si>
  <si>
    <t>Na Ga Yar Pyin</t>
  </si>
  <si>
    <t>Raw Ma Ni</t>
  </si>
  <si>
    <t>Cha Eik</t>
  </si>
  <si>
    <t>Sin Tet Maw (Ku Lar)</t>
  </si>
  <si>
    <t>Kyauk Pyin Seik</t>
  </si>
  <si>
    <t>Ba Wan Chaung Wa Su Ward</t>
  </si>
  <si>
    <t>MMR012007701504</t>
  </si>
  <si>
    <t>Chein Khar Li (Ku Lar)</t>
  </si>
  <si>
    <t>Nyaung Pin Gyi (Ku Lar)</t>
  </si>
  <si>
    <t>Thea Chaung Ku Lar</t>
  </si>
  <si>
    <t>Baw Du Hpa</t>
  </si>
  <si>
    <t>Dar Paing Ywar Thit</t>
  </si>
  <si>
    <t>Kha War De Ywar Haung</t>
  </si>
  <si>
    <t>Thea Chaung Let Tha Mar Kone</t>
  </si>
  <si>
    <t>Hpwe Ywar Kone</t>
  </si>
  <si>
    <t>San Pya Ward</t>
  </si>
  <si>
    <t>MMR012002701501</t>
  </si>
  <si>
    <t>Hman Zi</t>
  </si>
  <si>
    <t>Tin Bi</t>
  </si>
  <si>
    <t>Camp/Community Leader</t>
  </si>
  <si>
    <t>Wai Thar Li</t>
  </si>
  <si>
    <t>Shwe Yin Aye</t>
  </si>
  <si>
    <t>Kha Yay Myaing( DPA)</t>
  </si>
  <si>
    <t>Kan Pyin Thar Si</t>
  </si>
  <si>
    <t>Kha Yay Myaing(short legged)</t>
  </si>
  <si>
    <t>Pyin Taw Che</t>
  </si>
  <si>
    <t>MMR012003701</t>
  </si>
  <si>
    <t>Urban</t>
  </si>
  <si>
    <t>Ward Name not available</t>
  </si>
  <si>
    <t>Sin Tet Maw Host Family</t>
  </si>
  <si>
    <t>93.86477°</t>
  </si>
  <si>
    <t>19.091230°</t>
  </si>
  <si>
    <t>MMR012009701</t>
  </si>
  <si>
    <t>Save the Children</t>
  </si>
  <si>
    <t>UNFPA</t>
  </si>
  <si>
    <t>ABCD</t>
  </si>
  <si>
    <t>Solidarites International</t>
  </si>
  <si>
    <t>CDN</t>
  </si>
  <si>
    <t>Estimate</t>
  </si>
  <si>
    <t>MRSC</t>
  </si>
  <si>
    <t>15/07/2013</t>
  </si>
  <si>
    <t>MMR012001002</t>
  </si>
  <si>
    <t>Covered</t>
  </si>
  <si>
    <t>Gap - HH</t>
  </si>
  <si>
    <t>Ind. Not covered</t>
  </si>
  <si>
    <t>Main Kits</t>
  </si>
  <si>
    <t>Items (Direct and throug Kits)</t>
  </si>
  <si>
    <t>Shalom</t>
  </si>
  <si>
    <t>KMSS</t>
  </si>
  <si>
    <t>Kashin</t>
  </si>
  <si>
    <t xml:space="preserve">    </t>
  </si>
  <si>
    <t xml:space="preserve">  </t>
  </si>
  <si>
    <t>Rakhine CCCM Dashboard</t>
  </si>
  <si>
    <t>Kashin CCCM Dashboard</t>
  </si>
  <si>
    <t>Rakhine Shelter Coverage &amp; Gap</t>
  </si>
  <si>
    <t>Pipeline Stock Tracking</t>
  </si>
  <si>
    <t xml:space="preserve">Complementary
 Kit </t>
  </si>
  <si>
    <t>Juin 2013</t>
  </si>
  <si>
    <t>Kashin Shelter Coverage &amp; Gap</t>
  </si>
  <si>
    <t>Lisu</t>
  </si>
  <si>
    <t>Robert camp</t>
  </si>
  <si>
    <t>Hka Nan</t>
  </si>
  <si>
    <t>A Lin Kaung</t>
  </si>
  <si>
    <t>Kyay Nan</t>
  </si>
  <si>
    <t>man bon</t>
  </si>
  <si>
    <t>Tarli</t>
  </si>
  <si>
    <t>Myo Thit</t>
  </si>
  <si>
    <t>Mann Naung</t>
  </si>
  <si>
    <t>Mine Hkat</t>
  </si>
  <si>
    <t>Hkone Sint</t>
  </si>
  <si>
    <t>Dawt Hpone Yan</t>
  </si>
  <si>
    <t>Moe Mauk</t>
  </si>
  <si>
    <t xml:space="preserve">Moe Mauk </t>
  </si>
  <si>
    <t xml:space="preserve">Myitkyina    </t>
  </si>
  <si>
    <t>Phakant</t>
  </si>
  <si>
    <t>(Multiple Items)</t>
  </si>
  <si>
    <t>#ofFamilyTentPlanned(Target)</t>
  </si>
  <si>
    <t>#ofFamilyTentDistributed</t>
  </si>
  <si>
    <t>#ofTemporaryShelterPlanned(Target)</t>
  </si>
  <si>
    <t>#ofTemporaryShelterBuilt</t>
  </si>
  <si>
    <t>#ofTemporaryShelterUnderConstruction</t>
  </si>
  <si>
    <t>#ofPermanentHousePlanned(Target)</t>
  </si>
  <si>
    <t>#ofPermanentHouseBuilt</t>
  </si>
  <si>
    <t>#ofPermanentHouseUnderConstruction</t>
  </si>
  <si>
    <t>HHCovered</t>
  </si>
  <si>
    <t>SHELTERTRACKINGSHEET</t>
  </si>
  <si>
    <t>DateUpdated</t>
  </si>
  <si>
    <t>ImplementingPartner</t>
  </si>
  <si>
    <t>CampName</t>
  </si>
  <si>
    <t>HHperShelter</t>
  </si>
  <si>
    <t>MainaCatholicChurch(St.Joseph)</t>
  </si>
  <si>
    <t>NamHkam(KBCJawWang)</t>
  </si>
  <si>
    <t>ManWingBaptistChurch</t>
  </si>
  <si>
    <t>NanKwaySt.JohnCatholicChurch</t>
  </si>
  <si>
    <t>HkatCho</t>
  </si>
  <si>
    <t>NamHkam-NayWinNi(Palawng)</t>
  </si>
  <si>
    <t>LhaovaoBaptistChurch(LBC)</t>
  </si>
  <si>
    <t>HkauShau(BP12)</t>
  </si>
  <si>
    <t>HpunLumYang</t>
  </si>
  <si>
    <t>MagaYang</t>
  </si>
  <si>
    <t>AD-2000TharthanaCompound</t>
  </si>
  <si>
    <t>Sum of #ofPermanentHouseBuilt</t>
  </si>
  <si>
    <t>Sum of #ofTemporaryShelterBuilt</t>
  </si>
  <si>
    <t>Sum of #ofTemporaryShelterUnderConstruction</t>
  </si>
  <si>
    <t>GCA</t>
  </si>
  <si>
    <t/>
  </si>
  <si>
    <t>Aung Thar Church</t>
  </si>
  <si>
    <t>Ranir</t>
  </si>
  <si>
    <t>NGCA</t>
  </si>
  <si>
    <t>KBSS, Ranir</t>
  </si>
  <si>
    <t>KMSS, Ranir</t>
  </si>
  <si>
    <t>KBC, UNHCR</t>
  </si>
  <si>
    <t>KBC, KMSS</t>
  </si>
  <si>
    <t>KBC, Shalom</t>
  </si>
  <si>
    <t>KBC, Ranir</t>
  </si>
  <si>
    <t>Closed</t>
  </si>
  <si>
    <t>Zomee Baptist Church camp, Hmaw Wan</t>
  </si>
  <si>
    <t>MMR001CMP201</t>
  </si>
  <si>
    <t xml:space="preserve">Lagatyan </t>
  </si>
  <si>
    <t>MMR001CMP202</t>
  </si>
  <si>
    <t>Mung Ding Pa  (Boarder)</t>
  </si>
  <si>
    <t>MMR001CMP203</t>
  </si>
  <si>
    <t>Nam Lim Pa    (Boarder)</t>
  </si>
  <si>
    <t>MMR001CMP204</t>
  </si>
  <si>
    <t>Khun Sint Village</t>
  </si>
  <si>
    <t>MMR001CMP200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</si>
</sst>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0.0%"/>
    <numFmt numFmtId="167" formatCode="[$-409]d\-mmm\-yy;@"/>
    <numFmt numFmtId="168" formatCode="dd\-mmm\-yy"/>
    <numFmt numFmtId="169" formatCode="0.000000"/>
    <numFmt numFmtId="177" formatCode="General"/>
  </numFmts>
  <fonts count="7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</font>
    <font>
      <b/>
      <sz val="28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28"/>
      <name val="Calibri"/>
      <family val="2"/>
      <scheme val="minor"/>
    </font>
    <font>
      <b/>
      <sz val="28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b/>
      <sz val="18"/>
      <color theme="1"/>
      <name val="Calibri"/>
      <family val="2"/>
      <scheme val="minor"/>
    </font>
    <font>
      <i/>
      <sz val="11"/>
      <color theme="1" tint="0.4999800026416778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Franklin Gothic Medium Cond"/>
      <family val="2"/>
    </font>
    <font>
      <sz val="11"/>
      <color theme="1"/>
      <name val="Franklin Gothic Book"/>
      <family val="2"/>
    </font>
    <font>
      <sz val="11"/>
      <color theme="10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</font>
    <font>
      <sz val="11"/>
      <color indexed="8"/>
      <name val="Calibri"/>
      <family val="2"/>
      <scheme val="minor"/>
    </font>
    <font>
      <b/>
      <sz val="16"/>
      <color indexed="8"/>
      <name val="Calibri"/>
      <family val="2"/>
    </font>
    <font>
      <sz val="18"/>
      <color theme="1"/>
      <name val="Calibri"/>
      <family val="2"/>
      <scheme val="minor"/>
    </font>
    <font>
      <b/>
      <sz val="10"/>
      <name val="Calibri"/>
      <family val="2"/>
    </font>
    <font>
      <b/>
      <sz val="10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8"/>
      <color theme="4" tint="0.7999799847602844"/>
      <name val="Calibri"/>
      <family val="2"/>
      <scheme val="minor"/>
    </font>
    <font>
      <b/>
      <sz val="12"/>
      <name val="Calibri"/>
      <family val="2"/>
      <scheme val="minor"/>
    </font>
    <font>
      <b/>
      <sz val="28"/>
      <color theme="8" tint="0.7999799847602844"/>
      <name val="Calibri"/>
      <family val="2"/>
      <scheme val="minor"/>
    </font>
    <font>
      <sz val="11"/>
      <color theme="0" tint="-0.04997999966144562"/>
      <name val="Calibri"/>
      <family val="2"/>
      <scheme val="minor"/>
    </font>
    <font>
      <b/>
      <sz val="11"/>
      <color theme="0"/>
      <name val="Calibri"/>
      <family val="2"/>
    </font>
    <font>
      <sz val="10"/>
      <color rgb="FF000000"/>
      <name val="Calibri"/>
      <family val="2"/>
    </font>
    <font>
      <sz val="16"/>
      <color rgb="FF000000"/>
      <name val="Calibri"/>
      <family val="2"/>
    </font>
    <font>
      <sz val="12"/>
      <color rgb="FF000000"/>
      <name val="Calibri"/>
      <family val="2"/>
    </font>
    <font>
      <b/>
      <sz val="20"/>
      <color theme="1"/>
      <name val="+mn-cs"/>
      <family val="2"/>
    </font>
    <font>
      <sz val="24"/>
      <color theme="1"/>
      <name val="Calibri"/>
      <family val="2"/>
    </font>
    <font>
      <sz val="28"/>
      <color theme="0"/>
      <name val="Franklin Gothic Demi Cond"/>
      <family val="2"/>
    </font>
    <font>
      <sz val="11"/>
      <color theme="1"/>
      <name val="Calibri"/>
      <family val="2"/>
    </font>
    <font>
      <sz val="10"/>
      <color theme="1"/>
      <name val="Franklin Gothic Book"/>
      <family val="2"/>
    </font>
    <font>
      <sz val="12"/>
      <color theme="1"/>
      <name val="Franklin Gothic Medium Cond"/>
      <family val="2"/>
    </font>
    <font>
      <sz val="10.5"/>
      <color rgb="FF0070C0"/>
      <name val="Franklin Gothic Demi"/>
      <family val="2"/>
    </font>
    <font>
      <sz val="12"/>
      <color theme="0"/>
      <name val="Arial Black"/>
      <family val="2"/>
    </font>
    <font>
      <sz val="10"/>
      <color theme="0"/>
      <name val="Calibri"/>
      <family val="2"/>
    </font>
    <font>
      <sz val="14"/>
      <color rgb="FFFF0000"/>
      <name val="Franklin Gothic Medium Cond"/>
      <family val="2"/>
    </font>
    <font>
      <sz val="9"/>
      <name val="Franklin Gothic Book"/>
      <family val="2"/>
    </font>
    <font>
      <sz val="7"/>
      <name val="Franklin Gothic Book"/>
      <family val="2"/>
    </font>
    <font>
      <sz val="11"/>
      <color theme="1"/>
      <name val="Franklin Gothic Medium Cond"/>
      <family val="2"/>
    </font>
    <font>
      <b/>
      <sz val="14"/>
      <color theme="1"/>
      <name val="Calibri"/>
      <family val="2"/>
    </font>
    <font>
      <sz val="14"/>
      <color theme="0"/>
      <name val="Franklin Gothic Medium Cond"/>
      <family val="2"/>
    </font>
    <font>
      <u val="single"/>
      <sz val="14"/>
      <color rgb="FFFF0000"/>
      <name val="Franklin Gothic Medium Cond"/>
      <family val="2"/>
    </font>
  </fonts>
  <fills count="32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tted"/>
      <right style="dotted"/>
      <top style="dotted"/>
      <bottom style="dotted"/>
    </border>
    <border>
      <left style="dotted"/>
      <right style="dotted"/>
      <top/>
      <bottom style="dotted"/>
    </border>
    <border>
      <left style="dotted"/>
      <right style="dotted"/>
      <top style="dotted"/>
      <bottom/>
    </border>
    <border>
      <left/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17" fillId="2" borderId="1" applyNumberFormat="0" applyAlignment="0" applyProtection="0"/>
    <xf numFmtId="0" fontId="2" fillId="0" borderId="0">
      <alignment/>
      <protection/>
    </xf>
    <xf numFmtId="164" fontId="42" fillId="0" borderId="0" applyFont="0" applyFill="0" applyBorder="0" applyAlignment="0" applyProtection="0"/>
    <xf numFmtId="0" fontId="2" fillId="0" borderId="0">
      <alignment/>
      <protection/>
    </xf>
  </cellStyleXfs>
  <cellXfs count="372">
    <xf numFmtId="0" fontId="0" fillId="0" borderId="0" xfId="0"/>
    <xf numFmtId="0" fontId="0" fillId="0" borderId="2" xfId="0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0" fillId="3" borderId="0" xfId="0" applyFill="1" applyAlignment="1">
      <alignment/>
    </xf>
    <xf numFmtId="0" fontId="5" fillId="0" borderId="0" xfId="0" applyFont="1"/>
    <xf numFmtId="0" fontId="0" fillId="0" borderId="3" xfId="0" applyBorder="1" applyAlignment="1">
      <alignment horizontal="left" vertical="center"/>
    </xf>
    <xf numFmtId="0" fontId="8" fillId="0" borderId="2" xfId="24" applyFont="1" applyFill="1" applyBorder="1" applyAlignment="1">
      <alignment horizontal="center"/>
      <protection/>
    </xf>
    <xf numFmtId="0" fontId="0" fillId="0" borderId="0" xfId="0" applyNumberFormat="1"/>
    <xf numFmtId="0" fontId="0" fillId="0" borderId="0" xfId="0" applyFill="1"/>
    <xf numFmtId="0" fontId="5" fillId="0" borderId="0" xfId="0" applyFont="1" applyFill="1"/>
    <xf numFmtId="0" fontId="0" fillId="4" borderId="0" xfId="0" applyFill="1"/>
    <xf numFmtId="0" fontId="6" fillId="4" borderId="0" xfId="25" applyFont="1" applyFill="1" applyAlignment="1">
      <alignment vertical="center"/>
    </xf>
    <xf numFmtId="0" fontId="0" fillId="4" borderId="0" xfId="0" applyFill="1" applyAlignment="1">
      <alignment horizontal="left"/>
    </xf>
    <xf numFmtId="0" fontId="0" fillId="4" borderId="0" xfId="0" applyNumberFormat="1" applyFill="1"/>
    <xf numFmtId="0" fontId="0" fillId="5" borderId="0" xfId="0" applyFill="1"/>
    <xf numFmtId="0" fontId="0" fillId="5" borderId="0" xfId="0" applyFill="1" applyAlignment="1">
      <alignment horizontal="left"/>
    </xf>
    <xf numFmtId="0" fontId="0" fillId="5" borderId="0" xfId="0" applyNumberFormat="1" applyFill="1"/>
    <xf numFmtId="0" fontId="14" fillId="3" borderId="0" xfId="0" applyFont="1" applyFill="1"/>
    <xf numFmtId="0" fontId="14" fillId="5" borderId="0" xfId="0" applyFont="1" applyFill="1" applyAlignment="1">
      <alignment wrapText="1"/>
    </xf>
    <xf numFmtId="0" fontId="14" fillId="6" borderId="0" xfId="0" applyFont="1" applyFill="1" applyAlignment="1">
      <alignment wrapText="1"/>
    </xf>
    <xf numFmtId="0" fontId="14" fillId="7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horizontal="left"/>
    </xf>
    <xf numFmtId="0" fontId="0" fillId="0" borderId="5" xfId="0" applyBorder="1"/>
    <xf numFmtId="0" fontId="0" fillId="0" borderId="5" xfId="0" applyBorder="1" quotePrefix="1"/>
    <xf numFmtId="0" fontId="0" fillId="0" borderId="6" xfId="0" applyBorder="1"/>
    <xf numFmtId="0" fontId="3" fillId="5" borderId="2" xfId="0" applyFont="1" applyFill="1" applyBorder="1"/>
    <xf numFmtId="0" fontId="7" fillId="0" borderId="0" xfId="0" applyFont="1"/>
    <xf numFmtId="0" fontId="16" fillId="0" borderId="0" xfId="0" applyFont="1"/>
    <xf numFmtId="0" fontId="0" fillId="8" borderId="0" xfId="0" applyFill="1"/>
    <xf numFmtId="0" fontId="0" fillId="0" borderId="0" xfId="0" applyAlignment="1">
      <alignment horizontal="center"/>
    </xf>
    <xf numFmtId="0" fontId="15" fillId="6" borderId="2" xfId="0" applyFont="1" applyFill="1" applyBorder="1" applyAlignment="1">
      <alignment horizontal="center" vertical="center" wrapText="1"/>
    </xf>
    <xf numFmtId="0" fontId="0" fillId="6" borderId="5" xfId="0" applyFill="1" applyBorder="1" quotePrefix="1"/>
    <xf numFmtId="0" fontId="3" fillId="6" borderId="2" xfId="0" applyFont="1" applyFill="1" applyBorder="1"/>
    <xf numFmtId="0" fontId="0" fillId="6" borderId="5" xfId="0" applyFill="1" applyBorder="1"/>
    <xf numFmtId="0" fontId="3" fillId="0" borderId="0" xfId="0" applyFont="1"/>
    <xf numFmtId="0" fontId="0" fillId="0" borderId="0" xfId="0" applyFill="1" applyBorder="1"/>
    <xf numFmtId="0" fontId="3" fillId="0" borderId="0" xfId="0" applyFont="1" applyFill="1" applyBorder="1"/>
    <xf numFmtId="0" fontId="3" fillId="4" borderId="0" xfId="0" applyFont="1" applyFill="1"/>
    <xf numFmtId="0" fontId="17" fillId="0" borderId="0" xfId="26" applyFill="1" applyBorder="1" applyAlignment="1">
      <alignment horizontal="center"/>
    </xf>
    <xf numFmtId="0" fontId="17" fillId="2" borderId="7" xfId="26" applyBorder="1" applyAlignment="1">
      <alignment horizontal="center"/>
    </xf>
    <xf numFmtId="0" fontId="17" fillId="2" borderId="1" xfId="26" applyAlignment="1">
      <alignment horizontal="center"/>
    </xf>
    <xf numFmtId="0" fontId="0" fillId="0" borderId="2" xfId="0" applyFill="1" applyBorder="1"/>
    <xf numFmtId="3" fontId="17" fillId="0" borderId="0" xfId="26" applyNumberFormat="1" applyFill="1" applyBorder="1" applyAlignment="1">
      <alignment horizontal="center"/>
    </xf>
    <xf numFmtId="3" fontId="17" fillId="2" borderId="7" xfId="26" applyNumberFormat="1" applyBorder="1" applyAlignment="1">
      <alignment horizontal="center"/>
    </xf>
    <xf numFmtId="3" fontId="17" fillId="2" borderId="1" xfId="26" applyNumberFormat="1" applyAlignment="1">
      <alignment horizontal="center"/>
    </xf>
    <xf numFmtId="165" fontId="14" fillId="0" borderId="2" xfId="18" applyNumberFormat="1" applyFont="1" applyFill="1" applyBorder="1"/>
    <xf numFmtId="165" fontId="0" fillId="0" borderId="2" xfId="18" applyNumberFormat="1" applyFont="1" applyFill="1" applyBorder="1"/>
    <xf numFmtId="0" fontId="21" fillId="0" borderId="0" xfId="0" applyFont="1"/>
    <xf numFmtId="0" fontId="3" fillId="0" borderId="0" xfId="0" applyFont="1" applyAlignment="1">
      <alignment horizontal="center"/>
    </xf>
    <xf numFmtId="3" fontId="17" fillId="0" borderId="0" xfId="26" applyNumberFormat="1" applyFill="1" applyBorder="1"/>
    <xf numFmtId="0" fontId="22" fillId="0" borderId="0" xfId="0" applyFont="1" applyAlignment="1">
      <alignment horizontal="center"/>
    </xf>
    <xf numFmtId="3" fontId="0" fillId="9" borderId="2" xfId="0" applyNumberFormat="1" applyFill="1" applyBorder="1"/>
    <xf numFmtId="3" fontId="0" fillId="9" borderId="3" xfId="0" applyNumberFormat="1" applyFill="1" applyBorder="1"/>
    <xf numFmtId="3" fontId="0" fillId="0" borderId="8" xfId="0" applyNumberFormat="1" applyFill="1" applyBorder="1"/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/>
    <xf numFmtId="165" fontId="24" fillId="0" borderId="0" xfId="18" applyNumberFormat="1" applyFont="1" applyFill="1" applyBorder="1"/>
    <xf numFmtId="3" fontId="19" fillId="0" borderId="0" xfId="26" applyNumberFormat="1" applyFont="1" applyFill="1" applyBorder="1" applyAlignment="1">
      <alignment horizontal="center"/>
    </xf>
    <xf numFmtId="3" fontId="0" fillId="0" borderId="9" xfId="0" applyNumberFormat="1" applyFill="1" applyBorder="1" applyAlignment="1">
      <alignment/>
    </xf>
    <xf numFmtId="3" fontId="0" fillId="9" borderId="10" xfId="0" applyNumberFormat="1" applyFill="1" applyBorder="1" applyAlignment="1">
      <alignment/>
    </xf>
    <xf numFmtId="3" fontId="0" fillId="9" borderId="3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165" fontId="0" fillId="0" borderId="2" xfId="0" applyNumberFormat="1" applyFill="1" applyBorder="1"/>
    <xf numFmtId="165" fontId="23" fillId="0" borderId="0" xfId="0" applyNumberFormat="1" applyFont="1" applyFill="1" applyBorder="1"/>
    <xf numFmtId="0" fontId="0" fillId="0" borderId="0" xfId="0" applyAlignment="1">
      <alignment horizontal="left"/>
    </xf>
    <xf numFmtId="3" fontId="19" fillId="2" borderId="10" xfId="26" applyNumberFormat="1" applyFont="1" applyBorder="1" applyAlignment="1">
      <alignment horizontal="center"/>
    </xf>
    <xf numFmtId="0" fontId="14" fillId="0" borderId="0" xfId="26" applyFont="1" applyFill="1" applyBorder="1" applyAlignment="1">
      <alignment horizontal="center"/>
    </xf>
    <xf numFmtId="0" fontId="14" fillId="0" borderId="0" xfId="26" applyFont="1" applyFill="1" applyBorder="1" applyAlignment="1">
      <alignment horizontal="left"/>
    </xf>
    <xf numFmtId="0" fontId="14" fillId="2" borderId="10" xfId="26" applyFont="1" applyBorder="1" applyAlignment="1">
      <alignment horizontal="left"/>
    </xf>
    <xf numFmtId="0" fontId="25" fillId="0" borderId="0" xfId="0" applyFont="1" applyFill="1" applyBorder="1"/>
    <xf numFmtId="166" fontId="0" fillId="0" borderId="0" xfId="0" applyNumberFormat="1"/>
    <xf numFmtId="0" fontId="26" fillId="0" borderId="0" xfId="0" applyFont="1"/>
    <xf numFmtId="0" fontId="27" fillId="0" borderId="0" xfId="0" applyFont="1"/>
    <xf numFmtId="3" fontId="26" fillId="0" borderId="0" xfId="0" applyNumberFormat="1" applyFont="1"/>
    <xf numFmtId="165" fontId="0" fillId="0" borderId="0" xfId="18" applyNumberFormat="1" applyFont="1"/>
    <xf numFmtId="165" fontId="0" fillId="0" borderId="0" xfId="18" applyNumberFormat="1" applyFont="1" applyFill="1" applyBorder="1"/>
    <xf numFmtId="0" fontId="19" fillId="0" borderId="0" xfId="26" applyFont="1" applyFill="1" applyBorder="1" applyAlignment="1">
      <alignment horizontal="center"/>
    </xf>
    <xf numFmtId="165" fontId="0" fillId="0" borderId="0" xfId="0" applyNumberFormat="1" applyFill="1" applyBorder="1"/>
    <xf numFmtId="0" fontId="28" fillId="0" borderId="0" xfId="22" applyFont="1">
      <alignment/>
      <protection/>
    </xf>
    <xf numFmtId="0" fontId="29" fillId="0" borderId="0" xfId="22" applyFont="1">
      <alignment/>
      <protection/>
    </xf>
    <xf numFmtId="0" fontId="0" fillId="0" borderId="2" xfId="0" applyBorder="1" quotePrefix="1"/>
    <xf numFmtId="0" fontId="2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4" fillId="9" borderId="2" xfId="0" applyFont="1" applyFill="1" applyBorder="1" applyAlignment="1">
      <alignment/>
    </xf>
    <xf numFmtId="165" fontId="4" fillId="0" borderId="2" xfId="18" applyNumberFormat="1" applyFont="1" applyFill="1" applyBorder="1" applyAlignment="1">
      <alignment/>
    </xf>
    <xf numFmtId="9" fontId="4" fillId="0" borderId="2" xfId="15" applyFont="1" applyFill="1" applyBorder="1" applyAlignment="1">
      <alignment/>
    </xf>
    <xf numFmtId="0" fontId="0" fillId="0" borderId="2" xfId="0" applyBorder="1"/>
    <xf numFmtId="0" fontId="0" fillId="0" borderId="0" xfId="0" applyFill="1" applyBorder="1" applyAlignment="1">
      <alignment/>
    </xf>
    <xf numFmtId="9" fontId="0" fillId="0" borderId="2" xfId="15" applyFont="1" applyBorder="1"/>
    <xf numFmtId="0" fontId="0" fillId="6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30" fillId="3" borderId="2" xfId="25" applyFont="1" applyFill="1" applyBorder="1" applyAlignment="1">
      <alignment horizontal="center"/>
    </xf>
    <xf numFmtId="0" fontId="0" fillId="11" borderId="0" xfId="0" applyFill="1"/>
    <xf numFmtId="0" fontId="3" fillId="11" borderId="0" xfId="0" applyFont="1" applyFill="1"/>
    <xf numFmtId="0" fontId="23" fillId="0" borderId="0" xfId="0" applyFont="1" applyFill="1" applyBorder="1" applyAlignment="1">
      <alignment horizontal="center"/>
    </xf>
    <xf numFmtId="0" fontId="0" fillId="0" borderId="0" xfId="0"/>
    <xf numFmtId="165" fontId="0" fillId="0" borderId="2" xfId="18" applyNumberFormat="1" applyFont="1" applyFill="1" applyBorder="1" quotePrefix="1"/>
    <xf numFmtId="165" fontId="0" fillId="0" borderId="2" xfId="18" applyNumberFormat="1" applyFont="1" applyBorder="1" quotePrefix="1"/>
    <xf numFmtId="0" fontId="0" fillId="0" borderId="0" xfId="0"/>
    <xf numFmtId="0" fontId="0" fillId="12" borderId="2" xfId="0" applyFill="1" applyBorder="1" applyAlignment="1">
      <alignment horizontal="left" vertical="center"/>
    </xf>
    <xf numFmtId="0" fontId="31" fillId="0" borderId="2" xfId="0" applyFont="1" applyFill="1" applyBorder="1"/>
    <xf numFmtId="0" fontId="0" fillId="13" borderId="2" xfId="0" applyFill="1" applyBorder="1" applyAlignment="1">
      <alignment horizontal="left" vertical="center"/>
    </xf>
    <xf numFmtId="0" fontId="5" fillId="13" borderId="0" xfId="0" applyFont="1" applyFill="1"/>
    <xf numFmtId="0" fontId="0" fillId="13" borderId="0" xfId="0" applyFill="1"/>
    <xf numFmtId="0" fontId="14" fillId="13" borderId="2" xfId="0" applyFont="1" applyFill="1" applyBorder="1" applyAlignment="1">
      <alignment horizontal="left" vertical="center" wrapText="1"/>
    </xf>
    <xf numFmtId="0" fontId="0" fillId="13" borderId="2" xfId="0" applyFill="1" applyBorder="1" applyAlignment="1">
      <alignment vertical="top"/>
    </xf>
    <xf numFmtId="0" fontId="14" fillId="13" borderId="2" xfId="0" applyFont="1" applyFill="1" applyBorder="1" applyAlignment="1">
      <alignment vertical="top" wrapText="1"/>
    </xf>
    <xf numFmtId="0" fontId="14" fillId="13" borderId="2" xfId="0" applyFont="1" applyFill="1" applyBorder="1" applyAlignment="1">
      <alignment vertical="top"/>
    </xf>
    <xf numFmtId="0" fontId="0" fillId="13" borderId="2" xfId="0" applyFill="1" applyBorder="1"/>
    <xf numFmtId="167" fontId="0" fillId="0" borderId="2" xfId="0" applyNumberFormat="1" applyBorder="1"/>
    <xf numFmtId="167" fontId="31" fillId="4" borderId="2" xfId="21" applyNumberFormat="1" applyFont="1" applyFill="1" applyBorder="1" applyAlignment="1">
      <alignment horizontal="right"/>
      <protection/>
    </xf>
    <xf numFmtId="0" fontId="31" fillId="4" borderId="2" xfId="22" applyFont="1" applyFill="1" applyBorder="1" applyAlignment="1">
      <alignment vertical="center"/>
      <protection/>
    </xf>
    <xf numFmtId="0" fontId="32" fillId="4" borderId="2" xfId="22" applyFont="1" applyFill="1" applyBorder="1" applyAlignment="1">
      <alignment horizontal="right" vertical="center"/>
      <protection/>
    </xf>
    <xf numFmtId="0" fontId="31" fillId="4" borderId="2" xfId="22" applyFont="1" applyFill="1" applyBorder="1" applyAlignment="1">
      <alignment/>
      <protection/>
    </xf>
    <xf numFmtId="0" fontId="31" fillId="4" borderId="2" xfId="21" applyFont="1" applyFill="1" applyBorder="1" applyAlignment="1">
      <alignment/>
      <protection/>
    </xf>
    <xf numFmtId="1" fontId="32" fillId="4" borderId="2" xfId="21" applyNumberFormat="1" applyFont="1" applyFill="1" applyBorder="1" applyAlignment="1">
      <alignment horizontal="right" vertical="center"/>
      <protection/>
    </xf>
    <xf numFmtId="0" fontId="0" fillId="0" borderId="2" xfId="0" applyNumberFormat="1" applyFill="1" applyBorder="1"/>
    <xf numFmtId="0" fontId="15" fillId="5" borderId="2" xfId="0" applyFont="1" applyFill="1" applyBorder="1" applyAlignment="1">
      <alignment horizontal="center" vertical="center" wrapText="1"/>
    </xf>
    <xf numFmtId="0" fontId="0" fillId="0" borderId="0" xfId="0"/>
    <xf numFmtId="1" fontId="0" fillId="0" borderId="0" xfId="0" applyNumberFormat="1"/>
    <xf numFmtId="1" fontId="3" fillId="6" borderId="2" xfId="0" applyNumberFormat="1" applyFont="1" applyFill="1" applyBorder="1"/>
    <xf numFmtId="0" fontId="0" fillId="0" borderId="2" xfId="0" applyFont="1" applyFill="1" applyBorder="1"/>
    <xf numFmtId="0" fontId="0" fillId="0" borderId="2" xfId="0" applyFont="1" applyBorder="1"/>
    <xf numFmtId="0" fontId="15" fillId="5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14" borderId="0" xfId="0" applyFill="1"/>
    <xf numFmtId="0" fontId="34" fillId="14" borderId="0" xfId="0" applyFont="1" applyFill="1" applyAlignment="1">
      <alignment/>
    </xf>
    <xf numFmtId="0" fontId="35" fillId="4" borderId="0" xfId="0" applyFont="1" applyFill="1"/>
    <xf numFmtId="0" fontId="36" fillId="15" borderId="2" xfId="0" applyFont="1" applyFill="1" applyBorder="1" applyAlignment="1">
      <alignment horizontal="center" vertical="center" wrapText="1"/>
    </xf>
    <xf numFmtId="0" fontId="37" fillId="16" borderId="2" xfId="0" applyFont="1" applyFill="1" applyBorder="1" applyAlignment="1">
      <alignment horizontal="center" vertical="center" wrapText="1"/>
    </xf>
    <xf numFmtId="0" fontId="36" fillId="17" borderId="2" xfId="0" applyFont="1" applyFill="1" applyBorder="1" applyAlignment="1">
      <alignment horizontal="center" vertical="center" wrapText="1"/>
    </xf>
    <xf numFmtId="0" fontId="36" fillId="18" borderId="2" xfId="0" applyFont="1" applyFill="1" applyBorder="1" applyAlignment="1">
      <alignment horizontal="center" vertical="center" wrapText="1"/>
    </xf>
    <xf numFmtId="0" fontId="38" fillId="16" borderId="11" xfId="0" applyFont="1" applyFill="1" applyBorder="1" applyAlignment="1">
      <alignment horizontal="center" vertical="center" wrapText="1"/>
    </xf>
    <xf numFmtId="0" fontId="38" fillId="16" borderId="12" xfId="0" applyFont="1" applyFill="1" applyBorder="1" applyAlignment="1">
      <alignment horizontal="center" vertical="center" wrapText="1"/>
    </xf>
    <xf numFmtId="0" fontId="37" fillId="19" borderId="2" xfId="0" applyFont="1" applyFill="1" applyBorder="1" applyAlignment="1">
      <alignment horizontal="center" vertical="center" wrapText="1"/>
    </xf>
    <xf numFmtId="9" fontId="40" fillId="14" borderId="0" xfId="15" applyFont="1" applyFill="1"/>
    <xf numFmtId="0" fontId="41" fillId="0" borderId="13" xfId="0" applyFont="1" applyFill="1" applyBorder="1" applyAlignment="1">
      <alignment horizontal="left"/>
    </xf>
    <xf numFmtId="0" fontId="39" fillId="13" borderId="14" xfId="0" applyFont="1" applyFill="1" applyBorder="1" applyAlignment="1">
      <alignment horizontal="left"/>
    </xf>
    <xf numFmtId="165" fontId="39" fillId="0" borderId="2" xfId="28" applyNumberFormat="1" applyFont="1" applyFill="1" applyBorder="1" applyAlignment="1">
      <alignment horizontal="left"/>
    </xf>
    <xf numFmtId="165" fontId="31" fillId="0" borderId="2" xfId="28" applyNumberFormat="1" applyFont="1" applyBorder="1"/>
    <xf numFmtId="9" fontId="31" fillId="17" borderId="2" xfId="15" applyFont="1" applyFill="1" applyBorder="1"/>
    <xf numFmtId="9" fontId="31" fillId="18" borderId="2" xfId="15" applyFont="1" applyFill="1" applyBorder="1"/>
    <xf numFmtId="9" fontId="31" fillId="20" borderId="2" xfId="15" applyFont="1" applyFill="1" applyBorder="1"/>
    <xf numFmtId="165" fontId="31" fillId="0" borderId="2" xfId="0" applyNumberFormat="1" applyFont="1" applyBorder="1"/>
    <xf numFmtId="9" fontId="31" fillId="19" borderId="2" xfId="15" applyFont="1" applyFill="1" applyBorder="1"/>
    <xf numFmtId="0" fontId="41" fillId="0" borderId="14" xfId="0" applyFont="1" applyFill="1" applyBorder="1" applyAlignment="1">
      <alignment horizontal="left"/>
    </xf>
    <xf numFmtId="0" fontId="41" fillId="0" borderId="2" xfId="0" applyFont="1" applyFill="1" applyBorder="1" applyAlignment="1">
      <alignment horizontal="left"/>
    </xf>
    <xf numFmtId="0" fontId="0" fillId="4" borderId="0" xfId="0" applyFill="1" applyBorder="1"/>
    <xf numFmtId="0" fontId="0" fillId="0" borderId="0" xfId="0"/>
    <xf numFmtId="0" fontId="0" fillId="0" borderId="0" xfId="0" applyAlignment="1">
      <alignment horizontal="left" indent="1"/>
    </xf>
    <xf numFmtId="0" fontId="14" fillId="4" borderId="2" xfId="0" applyFont="1" applyFill="1" applyBorder="1" applyAlignment="1">
      <alignment horizontal="left" vertical="center" wrapText="1"/>
    </xf>
    <xf numFmtId="15" fontId="0" fillId="0" borderId="2" xfId="0" applyNumberFormat="1" applyBorder="1"/>
    <xf numFmtId="0" fontId="0" fillId="0" borderId="0" xfId="0"/>
    <xf numFmtId="0" fontId="39" fillId="0" borderId="2" xfId="29" applyFont="1" applyFill="1" applyBorder="1" applyAlignment="1">
      <alignment wrapText="1"/>
      <protection/>
    </xf>
    <xf numFmtId="0" fontId="39" fillId="0" borderId="2" xfId="29" applyFont="1" applyFill="1" applyBorder="1" applyAlignment="1">
      <alignment horizontal="right" wrapText="1"/>
      <protection/>
    </xf>
    <xf numFmtId="0" fontId="2" fillId="0" borderId="2" xfId="29" applyBorder="1">
      <alignment/>
      <protection/>
    </xf>
    <xf numFmtId="0" fontId="39" fillId="0" borderId="2" xfId="29" applyFont="1" applyFill="1" applyBorder="1" applyAlignment="1">
      <alignment horizontal="left" vertical="center"/>
      <protection/>
    </xf>
    <xf numFmtId="0" fontId="0" fillId="0" borderId="2" xfId="0" applyNumberFormat="1" applyBorder="1"/>
    <xf numFmtId="0" fontId="0" fillId="0" borderId="15" xfId="0" applyBorder="1"/>
    <xf numFmtId="0" fontId="0" fillId="0" borderId="0" xfId="0"/>
    <xf numFmtId="0" fontId="15" fillId="5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8" fillId="0" borderId="16" xfId="24" applyFont="1" applyFill="1" applyBorder="1" applyAlignment="1">
      <alignment horizontal="center"/>
      <protection/>
    </xf>
    <xf numFmtId="0" fontId="0" fillId="0" borderId="2" xfId="0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textRotation="90"/>
    </xf>
    <xf numFmtId="0" fontId="0" fillId="3" borderId="0" xfId="0" applyFill="1" applyAlignment="1" quotePrefix="1">
      <alignment horizontal="center" textRotation="90" wrapText="1"/>
    </xf>
    <xf numFmtId="9" fontId="38" fillId="16" borderId="12" xfId="15" applyFont="1" applyFill="1" applyBorder="1" applyAlignment="1">
      <alignment horizontal="right" vertical="center" wrapText="1"/>
    </xf>
    <xf numFmtId="0" fontId="0" fillId="21" borderId="0" xfId="0" applyFill="1"/>
    <xf numFmtId="0" fontId="0" fillId="21" borderId="0" xfId="0" applyFill="1" applyAlignment="1" quotePrefix="1">
      <alignment horizontal="center" textRotation="90" wrapText="1"/>
    </xf>
    <xf numFmtId="0" fontId="0" fillId="21" borderId="17" xfId="0" applyFill="1" applyBorder="1" applyAlignment="1">
      <alignment horizontal="right"/>
    </xf>
    <xf numFmtId="0" fontId="0" fillId="0" borderId="0" xfId="0"/>
    <xf numFmtId="0" fontId="12" fillId="5" borderId="0" xfId="25" applyFont="1" applyFill="1" applyBorder="1" applyAlignment="1">
      <alignment horizontal="left" vertical="center"/>
    </xf>
    <xf numFmtId="0" fontId="11" fillId="0" borderId="0" xfId="25" applyFont="1" applyFill="1" applyBorder="1" applyAlignment="1">
      <alignment horizontal="center" vertical="center"/>
    </xf>
    <xf numFmtId="0" fontId="8" fillId="0" borderId="8" xfId="24" applyFont="1" applyFill="1" applyBorder="1" applyAlignment="1">
      <alignment horizontal="left"/>
      <protection/>
    </xf>
    <xf numFmtId="15" fontId="0" fillId="0" borderId="0" xfId="0" applyNumberFormat="1" applyBorder="1"/>
    <xf numFmtId="0" fontId="39" fillId="0" borderId="0" xfId="29" applyFont="1" applyFill="1" applyBorder="1" applyAlignment="1">
      <alignment wrapText="1"/>
      <protection/>
    </xf>
    <xf numFmtId="0" fontId="39" fillId="0" borderId="0" xfId="29" applyFont="1" applyFill="1" applyBorder="1" applyAlignment="1">
      <alignment horizontal="left" vertical="center"/>
      <protection/>
    </xf>
    <xf numFmtId="0" fontId="0" fillId="0" borderId="15" xfId="0" applyBorder="1" applyAlignment="1">
      <alignment horizontal="left" vertical="center"/>
    </xf>
    <xf numFmtId="0" fontId="39" fillId="0" borderId="0" xfId="29" applyFont="1" applyFill="1" applyBorder="1" applyAlignment="1">
      <alignment horizontal="right" wrapText="1"/>
      <protection/>
    </xf>
    <xf numFmtId="0" fontId="0" fillId="0" borderId="0" xfId="0" applyNumberFormat="1" applyBorder="1"/>
    <xf numFmtId="15" fontId="0" fillId="0" borderId="2" xfId="0" applyNumberFormat="1" applyBorder="1"/>
    <xf numFmtId="15" fontId="0" fillId="0" borderId="15" xfId="0" applyNumberFormat="1" applyBorder="1"/>
    <xf numFmtId="0" fontId="0" fillId="0" borderId="15" xfId="0" applyFont="1" applyFill="1" applyBorder="1"/>
    <xf numFmtId="0" fontId="0" fillId="0" borderId="15" xfId="0" applyFont="1" applyBorder="1"/>
    <xf numFmtId="15" fontId="0" fillId="0" borderId="0" xfId="0" applyNumberFormat="1" applyBorder="1"/>
    <xf numFmtId="0" fontId="0" fillId="0" borderId="0" xfId="0" applyFont="1" applyBorder="1"/>
    <xf numFmtId="0" fontId="33" fillId="0" borderId="0" xfId="27" applyFont="1" applyFill="1" applyBorder="1" applyAlignment="1">
      <alignment horizontal="left" vertical="center"/>
      <protection/>
    </xf>
    <xf numFmtId="0" fontId="14" fillId="0" borderId="0" xfId="0" applyFont="1"/>
    <xf numFmtId="0" fontId="0" fillId="0" borderId="0" xfId="0"/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top"/>
    </xf>
    <xf numFmtId="0" fontId="0" fillId="3" borderId="0" xfId="0" applyFill="1" applyAlignment="1">
      <alignment horizontal="center" textRotation="90"/>
    </xf>
    <xf numFmtId="0" fontId="0" fillId="0" borderId="18" xfId="0" applyBorder="1" applyAlignment="1">
      <alignment textRotation="90"/>
    </xf>
    <xf numFmtId="0" fontId="0" fillId="0" borderId="0" xfId="0" applyBorder="1" applyAlignment="1">
      <alignment textRotation="90"/>
    </xf>
    <xf numFmtId="0" fontId="0" fillId="0" borderId="19" xfId="0" applyBorder="1" applyAlignment="1">
      <alignment textRotation="90"/>
    </xf>
    <xf numFmtId="0" fontId="0" fillId="0" borderId="18" xfId="0" applyBorder="1"/>
    <xf numFmtId="0" fontId="0" fillId="0" borderId="19" xfId="0" applyBorder="1"/>
    <xf numFmtId="0" fontId="0" fillId="0" borderId="0" xfId="0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8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" xfId="0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vertical="top"/>
    </xf>
    <xf numFmtId="0" fontId="14" fillId="0" borderId="2" xfId="0" applyFont="1" applyFill="1" applyBorder="1" applyAlignment="1">
      <alignment vertical="top" wrapText="1"/>
    </xf>
    <xf numFmtId="0" fontId="14" fillId="0" borderId="2" xfId="0" applyFont="1" applyFill="1" applyBorder="1" applyAlignment="1">
      <alignment vertical="top"/>
    </xf>
    <xf numFmtId="0" fontId="0" fillId="0" borderId="2" xfId="0" applyFill="1" applyBorder="1" applyAlignment="1">
      <alignment horizontal="left" vertical="top"/>
    </xf>
    <xf numFmtId="0" fontId="14" fillId="0" borderId="2" xfId="0" applyFont="1" applyFill="1" applyBorder="1" applyAlignment="1">
      <alignment horizontal="left" vertical="center" wrapText="1"/>
    </xf>
    <xf numFmtId="0" fontId="14" fillId="0" borderId="0" xfId="0" applyFont="1" quotePrefix="1"/>
    <xf numFmtId="0" fontId="0" fillId="0" borderId="3" xfId="0" applyFill="1" applyBorder="1" applyAlignment="1">
      <alignment horizontal="left" vertical="center"/>
    </xf>
    <xf numFmtId="168" fontId="0" fillId="0" borderId="2" xfId="0" applyNumberFormat="1" applyBorder="1"/>
    <xf numFmtId="0" fontId="0" fillId="0" borderId="2" xfId="0" applyFont="1" applyFill="1" applyBorder="1"/>
    <xf numFmtId="0" fontId="0" fillId="0" borderId="2" xfId="0" applyFont="1" applyBorder="1"/>
    <xf numFmtId="0" fontId="0" fillId="21" borderId="2" xfId="0" applyNumberFormat="1" applyFill="1" applyBorder="1" applyAlignment="1">
      <alignment horizontal="right"/>
    </xf>
    <xf numFmtId="0" fontId="0" fillId="21" borderId="2" xfId="0" applyFill="1" applyBorder="1" applyAlignment="1">
      <alignment horizontal="right"/>
    </xf>
    <xf numFmtId="168" fontId="0" fillId="0" borderId="15" xfId="0" applyNumberFormat="1" applyBorder="1"/>
    <xf numFmtId="0" fontId="0" fillId="0" borderId="15" xfId="0" applyFont="1" applyFill="1" applyBorder="1"/>
    <xf numFmtId="0" fontId="0" fillId="0" borderId="15" xfId="0" applyFont="1" applyBorder="1"/>
    <xf numFmtId="0" fontId="0" fillId="0" borderId="15" xfId="0" applyBorder="1" applyAlignment="1">
      <alignment horizontal="right"/>
    </xf>
    <xf numFmtId="0" fontId="0" fillId="0" borderId="15" xfId="0" applyBorder="1" applyAlignment="1">
      <alignment horizontal="right" vertical="center"/>
    </xf>
    <xf numFmtId="0" fontId="0" fillId="21" borderId="15" xfId="0" applyNumberFormat="1" applyFill="1" applyBorder="1" applyAlignment="1">
      <alignment horizontal="right"/>
    </xf>
    <xf numFmtId="0" fontId="0" fillId="21" borderId="15" xfId="0" applyFill="1" applyBorder="1" applyAlignment="1">
      <alignment horizontal="right"/>
    </xf>
    <xf numFmtId="0" fontId="12" fillId="22" borderId="0" xfId="25" applyFont="1" applyFill="1" applyBorder="1" applyAlignment="1">
      <alignment horizontal="left" vertical="center"/>
    </xf>
    <xf numFmtId="0" fontId="0" fillId="22" borderId="2" xfId="0" applyFill="1" applyBorder="1" applyAlignment="1">
      <alignment horizontal="left" vertical="center"/>
    </xf>
    <xf numFmtId="0" fontId="0" fillId="4" borderId="2" xfId="0" applyFill="1" applyBorder="1" applyAlignment="1">
      <alignment horizontal="right"/>
    </xf>
    <xf numFmtId="14" fontId="0" fillId="0" borderId="19" xfId="0" applyNumberFormat="1" applyBorder="1"/>
    <xf numFmtId="0" fontId="0" fillId="0" borderId="0" xfId="0"/>
    <xf numFmtId="0" fontId="23" fillId="0" borderId="0" xfId="0" applyFont="1" applyFill="1" applyBorder="1" applyAlignment="1">
      <alignment horizontal="center"/>
    </xf>
    <xf numFmtId="0" fontId="43" fillId="0" borderId="2" xfId="0" applyFont="1" applyBorder="1"/>
    <xf numFmtId="0" fontId="39" fillId="0" borderId="2" xfId="0" applyFont="1" applyFill="1" applyBorder="1" applyAlignment="1">
      <alignment wrapText="1"/>
    </xf>
    <xf numFmtId="0" fontId="0" fillId="0" borderId="0" xfId="0"/>
    <xf numFmtId="0" fontId="0" fillId="0" borderId="2" xfId="0" applyFont="1" applyBorder="1" applyAlignment="1">
      <alignment horizontal="left" vertical="center"/>
    </xf>
    <xf numFmtId="0" fontId="0" fillId="4" borderId="0" xfId="0" applyFill="1" applyAlignment="1">
      <alignment horizontal="left" indent="1"/>
    </xf>
    <xf numFmtId="0" fontId="18" fillId="0" borderId="0" xfId="0" applyFont="1"/>
    <xf numFmtId="9" fontId="0" fillId="6" borderId="5" xfId="15" applyFont="1" applyFill="1" applyBorder="1"/>
    <xf numFmtId="9" fontId="3" fillId="6" borderId="2" xfId="15" applyFont="1" applyFill="1" applyBorder="1"/>
    <xf numFmtId="1" fontId="0" fillId="0" borderId="2" xfId="0" applyNumberFormat="1" applyBorder="1"/>
    <xf numFmtId="165" fontId="0" fillId="0" borderId="2" xfId="18" applyNumberFormat="1" applyFont="1" applyBorder="1"/>
    <xf numFmtId="0" fontId="3" fillId="0" borderId="2" xfId="0" applyFont="1" applyFill="1" applyBorder="1"/>
    <xf numFmtId="165" fontId="3" fillId="0" borderId="2" xfId="18" applyNumberFormat="1" applyFont="1" applyBorder="1"/>
    <xf numFmtId="1" fontId="3" fillId="0" borderId="2" xfId="0" applyNumberFormat="1" applyFont="1" applyBorder="1"/>
    <xf numFmtId="165" fontId="3" fillId="0" borderId="2" xfId="0" applyNumberFormat="1" applyFont="1" applyFill="1" applyBorder="1"/>
    <xf numFmtId="9" fontId="3" fillId="6" borderId="0" xfId="15" applyFont="1" applyFill="1" applyBorder="1"/>
    <xf numFmtId="1" fontId="3" fillId="6" borderId="0" xfId="0" applyNumberFormat="1" applyFont="1" applyFill="1" applyBorder="1"/>
    <xf numFmtId="168" fontId="0" fillId="13" borderId="15" xfId="0" applyNumberFormat="1" applyFill="1" applyBorder="1"/>
    <xf numFmtId="165" fontId="0" fillId="0" borderId="5" xfId="18" applyNumberFormat="1" applyFont="1" applyBorder="1" quotePrefix="1"/>
    <xf numFmtId="165" fontId="0" fillId="6" borderId="5" xfId="18" applyNumberFormat="1" applyFont="1" applyFill="1" applyBorder="1" quotePrefix="1"/>
    <xf numFmtId="165" fontId="3" fillId="5" borderId="2" xfId="18" applyNumberFormat="1" applyFont="1" applyFill="1" applyBorder="1"/>
    <xf numFmtId="165" fontId="3" fillId="6" borderId="2" xfId="18" applyNumberFormat="1" applyFont="1" applyFill="1" applyBorder="1"/>
    <xf numFmtId="165" fontId="0" fillId="0" borderId="0" xfId="0" applyNumberFormat="1"/>
    <xf numFmtId="165" fontId="0" fillId="6" borderId="0" xfId="0" applyNumberFormat="1" applyFill="1"/>
    <xf numFmtId="0" fontId="14" fillId="4" borderId="0" xfId="0" applyFont="1" applyFill="1"/>
    <xf numFmtId="165" fontId="0" fillId="4" borderId="0" xfId="0" applyNumberFormat="1" applyFill="1" applyAlignment="1">
      <alignment horizontal="left"/>
    </xf>
    <xf numFmtId="165" fontId="0" fillId="4" borderId="0" xfId="0" applyNumberFormat="1" applyFill="1"/>
    <xf numFmtId="165" fontId="0" fillId="4" borderId="0" xfId="0" applyNumberFormat="1" applyFill="1" applyAlignment="1">
      <alignment horizontal="left" indent="1"/>
    </xf>
    <xf numFmtId="165" fontId="0" fillId="5" borderId="0" xfId="0" applyNumberFormat="1" applyFill="1" applyAlignment="1">
      <alignment horizontal="left"/>
    </xf>
    <xf numFmtId="165" fontId="0" fillId="5" borderId="0" xfId="0" applyNumberFormat="1" applyFill="1"/>
    <xf numFmtId="0" fontId="0" fillId="0" borderId="2" xfId="15" applyNumberFormat="1" applyFont="1" applyBorder="1"/>
    <xf numFmtId="165" fontId="45" fillId="14" borderId="0" xfId="18" applyNumberFormat="1" applyFont="1" applyFill="1"/>
    <xf numFmtId="0" fontId="9" fillId="14" borderId="0" xfId="0" applyFont="1" applyFill="1"/>
    <xf numFmtId="0" fontId="3" fillId="5" borderId="0" xfId="0" applyFont="1" applyFill="1" applyBorder="1"/>
    <xf numFmtId="1" fontId="3" fillId="5" borderId="0" xfId="0" applyNumberFormat="1" applyFont="1" applyFill="1" applyBorder="1"/>
    <xf numFmtId="0" fontId="3" fillId="6" borderId="0" xfId="0" applyFont="1" applyFill="1" applyBorder="1"/>
    <xf numFmtId="0" fontId="46" fillId="9" borderId="0" xfId="0" applyFont="1" applyFill="1"/>
    <xf numFmtId="0" fontId="0" fillId="9" borderId="0" xfId="0" applyFill="1"/>
    <xf numFmtId="0" fontId="47" fillId="9" borderId="0" xfId="0" applyFont="1" applyFill="1"/>
    <xf numFmtId="0" fontId="12" fillId="5" borderId="0" xfId="25" applyFont="1" applyFill="1" applyAlignment="1">
      <alignment vertical="center"/>
    </xf>
    <xf numFmtId="0" fontId="8" fillId="0" borderId="20" xfId="24" applyFont="1" applyFill="1" applyBorder="1" applyAlignment="1">
      <alignment horizontal="center"/>
      <protection/>
    </xf>
    <xf numFmtId="0" fontId="8" fillId="0" borderId="17" xfId="24" applyFont="1" applyFill="1" applyBorder="1" applyAlignment="1">
      <alignment horizontal="center"/>
      <protection/>
    </xf>
    <xf numFmtId="0" fontId="8" fillId="0" borderId="17" xfId="24" applyFont="1" applyFill="1" applyBorder="1" applyAlignment="1">
      <alignment horizontal="left"/>
      <protection/>
    </xf>
    <xf numFmtId="0" fontId="12" fillId="5" borderId="0" xfId="25" applyFont="1" applyFill="1" applyBorder="1" applyAlignment="1">
      <alignment vertical="center"/>
    </xf>
    <xf numFmtId="0" fontId="5" fillId="0" borderId="0" xfId="0" applyFont="1" applyBorder="1"/>
    <xf numFmtId="0" fontId="5" fillId="0" borderId="0" xfId="0" applyFont="1" applyFill="1" applyBorder="1"/>
    <xf numFmtId="0" fontId="8" fillId="0" borderId="0" xfId="24" applyFont="1" applyFill="1" applyBorder="1" applyAlignment="1">
      <alignment horizont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5" fontId="0" fillId="0" borderId="0" xfId="0" applyNumberFormat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48" fillId="5" borderId="0" xfId="25" applyFont="1" applyFill="1" applyBorder="1" applyAlignment="1">
      <alignment vertical="center"/>
    </xf>
    <xf numFmtId="15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49" fillId="0" borderId="0" xfId="25" applyFont="1" applyFill="1" applyBorder="1" applyAlignment="1">
      <alignment horizontal="left" vertical="center"/>
    </xf>
    <xf numFmtId="0" fontId="44" fillId="14" borderId="0" xfId="0" applyFont="1" applyFill="1"/>
    <xf numFmtId="0" fontId="50" fillId="5" borderId="0" xfId="25" applyFont="1" applyFill="1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33" fillId="0" borderId="2" xfId="27" applyFont="1" applyFill="1" applyBorder="1" applyAlignment="1">
      <alignment/>
      <protection/>
    </xf>
    <xf numFmtId="0" fontId="0" fillId="0" borderId="2" xfId="0" applyFont="1" applyBorder="1" applyAlignment="1">
      <alignment horizontal="right"/>
    </xf>
    <xf numFmtId="0" fontId="2" fillId="0" borderId="0" xfId="29" applyBorder="1">
      <alignment/>
      <protection/>
    </xf>
    <xf numFmtId="168" fontId="0" fillId="0" borderId="0" xfId="0" applyNumberFormat="1" applyBorder="1"/>
    <xf numFmtId="0" fontId="39" fillId="13" borderId="0" xfId="29" applyFont="1" applyFill="1" applyBorder="1" applyAlignment="1">
      <alignment horizontal="right" wrapText="1"/>
      <protection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right" vertical="top" wrapText="1"/>
    </xf>
    <xf numFmtId="0" fontId="0" fillId="6" borderId="0" xfId="0" applyFill="1" applyAlignment="1">
      <alignment horizontal="left" indent="2"/>
    </xf>
    <xf numFmtId="0" fontId="0" fillId="0" borderId="0" xfId="0"/>
    <xf numFmtId="0" fontId="0" fillId="0" borderId="0" xfId="0"/>
    <xf numFmtId="0" fontId="10" fillId="10" borderId="2" xfId="25" applyFill="1" applyBorder="1" applyAlignment="1">
      <alignment horizontal="center"/>
    </xf>
    <xf numFmtId="0" fontId="51" fillId="11" borderId="0" xfId="0" applyFont="1" applyFill="1"/>
    <xf numFmtId="0" fontId="43" fillId="0" borderId="21" xfId="0" applyFont="1" applyBorder="1" applyAlignment="1">
      <alignment horizontal="left"/>
    </xf>
    <xf numFmtId="0" fontId="39" fillId="0" borderId="21" xfId="27" applyFont="1" applyFill="1" applyBorder="1" applyAlignment="1">
      <alignment horizontal="right"/>
      <protection/>
    </xf>
    <xf numFmtId="0" fontId="39" fillId="0" borderId="2" xfId="27" applyFont="1" applyFill="1" applyBorder="1" applyAlignment="1">
      <alignment wrapText="1"/>
      <protection/>
    </xf>
    <xf numFmtId="0" fontId="39" fillId="0" borderId="2" xfId="27" applyFont="1" applyFill="1" applyBorder="1" applyAlignment="1">
      <alignment/>
      <protection/>
    </xf>
    <xf numFmtId="0" fontId="39" fillId="0" borderId="2" xfId="27" applyNumberFormat="1" applyFont="1" applyFill="1" applyBorder="1" applyAlignment="1">
      <alignment horizontal="right"/>
      <protection/>
    </xf>
    <xf numFmtId="0" fontId="39" fillId="0" borderId="22" xfId="27" applyFont="1" applyFill="1" applyBorder="1" applyAlignment="1">
      <alignment/>
      <protection/>
    </xf>
    <xf numFmtId="169" fontId="39" fillId="0" borderId="2" xfId="27" applyNumberFormat="1" applyFont="1" applyFill="1" applyBorder="1" applyAlignment="1">
      <alignment horizontal="right"/>
      <protection/>
    </xf>
    <xf numFmtId="0" fontId="0" fillId="0" borderId="0" xfId="0" applyAlignment="1">
      <alignment wrapText="1"/>
    </xf>
    <xf numFmtId="0" fontId="2" fillId="0" borderId="2" xfId="27" applyBorder="1" applyAlignment="1">
      <alignment/>
      <protection/>
    </xf>
    <xf numFmtId="0" fontId="2" fillId="0" borderId="2" xfId="27" applyFill="1" applyBorder="1" applyAlignment="1">
      <alignment/>
      <protection/>
    </xf>
    <xf numFmtId="0" fontId="39" fillId="0" borderId="2" xfId="27" applyNumberFormat="1" applyFont="1" applyFill="1" applyBorder="1" applyAlignment="1">
      <alignment/>
      <protection/>
    </xf>
    <xf numFmtId="1" fontId="39" fillId="0" borderId="2" xfId="27" applyNumberFormat="1" applyFont="1" applyFill="1" applyBorder="1" applyAlignment="1">
      <alignment horizontal="right"/>
      <protection/>
    </xf>
    <xf numFmtId="165" fontId="0" fillId="6" borderId="5" xfId="18" applyNumberFormat="1" applyFont="1" applyFill="1" applyBorder="1"/>
    <xf numFmtId="165" fontId="0" fillId="0" borderId="5" xfId="18" applyNumberFormat="1" applyFont="1" applyBorder="1"/>
    <xf numFmtId="0" fontId="18" fillId="23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/>
    </xf>
    <xf numFmtId="0" fontId="18" fillId="24" borderId="0" xfId="0" applyFont="1" applyFill="1" applyAlignment="1">
      <alignment horizontal="center"/>
    </xf>
    <xf numFmtId="0" fontId="49" fillId="0" borderId="0" xfId="25" applyFont="1" applyFill="1" applyBorder="1" applyAlignment="1">
      <alignment horizontal="left" vertical="center"/>
    </xf>
    <xf numFmtId="0" fontId="12" fillId="5" borderId="0" xfId="25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/>
    <xf numFmtId="0" fontId="3" fillId="0" borderId="0" xfId="0" applyFont="1" applyAlignment="1">
      <alignment horizontal="left"/>
    </xf>
    <xf numFmtId="0" fontId="23" fillId="0" borderId="0" xfId="0" applyFont="1" applyFill="1" applyBorder="1" applyAlignment="1">
      <alignment horizontal="left"/>
    </xf>
    <xf numFmtId="0" fontId="4" fillId="9" borderId="2" xfId="0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6" borderId="15" xfId="0" applyFill="1" applyBorder="1" applyAlignment="1">
      <alignment horizontal="center" vertical="center" wrapText="1"/>
    </xf>
    <xf numFmtId="0" fontId="0" fillId="26" borderId="17" xfId="0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27" borderId="25" xfId="0" applyFill="1" applyBorder="1" applyAlignment="1">
      <alignment horizontal="center" textRotation="90" wrapText="1"/>
    </xf>
    <xf numFmtId="0" fontId="0" fillId="27" borderId="26" xfId="0" applyFill="1" applyBorder="1" applyAlignment="1">
      <alignment horizontal="center" textRotation="90" wrapText="1"/>
    </xf>
    <xf numFmtId="0" fontId="0" fillId="27" borderId="27" xfId="0" applyFill="1" applyBorder="1" applyAlignment="1">
      <alignment horizontal="center" textRotation="90" wrapText="1"/>
    </xf>
    <xf numFmtId="0" fontId="0" fillId="27" borderId="0" xfId="0" applyFill="1" applyAlignment="1">
      <alignment horizontal="center" textRotation="90" wrapText="1"/>
    </xf>
    <xf numFmtId="0" fontId="0" fillId="3" borderId="0" xfId="0" applyFill="1" applyAlignment="1">
      <alignment horizontal="center" textRotation="90"/>
    </xf>
    <xf numFmtId="0" fontId="0" fillId="28" borderId="25" xfId="0" applyFill="1" applyBorder="1" applyAlignment="1">
      <alignment horizontal="center" textRotation="90"/>
    </xf>
    <xf numFmtId="0" fontId="0" fillId="28" borderId="26" xfId="0" applyFill="1" applyBorder="1" applyAlignment="1">
      <alignment horizontal="center" textRotation="90"/>
    </xf>
    <xf numFmtId="0" fontId="0" fillId="28" borderId="27" xfId="0" applyFill="1" applyBorder="1" applyAlignment="1">
      <alignment horizontal="center" textRotation="90"/>
    </xf>
    <xf numFmtId="0" fontId="0" fillId="29" borderId="25" xfId="0" applyFill="1" applyBorder="1" applyAlignment="1">
      <alignment horizontal="center" textRotation="90"/>
    </xf>
    <xf numFmtId="0" fontId="0" fillId="29" borderId="26" xfId="0" applyFill="1" applyBorder="1" applyAlignment="1">
      <alignment horizontal="center" textRotation="90"/>
    </xf>
    <xf numFmtId="0" fontId="0" fillId="29" borderId="27" xfId="0" applyFill="1" applyBorder="1" applyAlignment="1">
      <alignment horizontal="center" textRotation="90"/>
    </xf>
    <xf numFmtId="0" fontId="0" fillId="30" borderId="25" xfId="0" applyFill="1" applyBorder="1" applyAlignment="1">
      <alignment horizontal="center" textRotation="90" wrapText="1"/>
    </xf>
    <xf numFmtId="0" fontId="0" fillId="30" borderId="26" xfId="0" applyFill="1" applyBorder="1" applyAlignment="1">
      <alignment horizontal="center" textRotation="90" wrapText="1"/>
    </xf>
    <xf numFmtId="0" fontId="0" fillId="30" borderId="27" xfId="0" applyFill="1" applyBorder="1" applyAlignment="1">
      <alignment horizontal="center" textRotation="90" wrapText="1"/>
    </xf>
    <xf numFmtId="0" fontId="0" fillId="31" borderId="25" xfId="0" applyFill="1" applyBorder="1" applyAlignment="1">
      <alignment horizontal="center" textRotation="90" wrapText="1"/>
    </xf>
    <xf numFmtId="0" fontId="0" fillId="31" borderId="26" xfId="0" applyFill="1" applyBorder="1" applyAlignment="1">
      <alignment horizontal="center" textRotation="90" wrapText="1"/>
    </xf>
    <xf numFmtId="0" fontId="0" fillId="31" borderId="27" xfId="0" applyFill="1" applyBorder="1" applyAlignment="1">
      <alignment horizontal="center" textRotation="90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28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left" vertical="center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2" xfId="21"/>
    <cellStyle name="Normal 2 2" xfId="22"/>
    <cellStyle name="Normal 4" xfId="23"/>
    <cellStyle name="Normal_Sheet11" xfId="24"/>
    <cellStyle name="Hyperlink" xfId="25"/>
    <cellStyle name="Calculation" xfId="26"/>
    <cellStyle name="Normal_Sheet3_1" xfId="27"/>
    <cellStyle name="Comma 4 10" xfId="28"/>
    <cellStyle name="Normal_Shelter Tracking" xfId="29"/>
  </cellStyles>
  <dxfs count="213">
    <dxf>
      <fill>
        <patternFill>
          <bgColor theme="0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fill>
        <patternFill>
          <bgColor theme="0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0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0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fill>
        <patternFill patternType="solid">
          <bgColor theme="9" tint="0.7999799847602844"/>
        </patternFill>
      </fill>
    </dxf>
    <dxf>
      <fill>
        <patternFill patternType="solid">
          <bgColor theme="9" tint="0.7999799847602844"/>
        </patternFill>
      </fill>
    </dxf>
    <dxf>
      <fill>
        <patternFill patternType="solid">
          <bgColor theme="9" tint="0.7999799847602844"/>
        </patternFill>
      </fill>
    </dxf>
    <dxf>
      <fill>
        <patternFill patternType="solid">
          <bgColor theme="9" tint="0.7999799847602844"/>
        </patternFill>
      </fill>
    </dxf>
    <dxf>
      <fill>
        <patternFill patternType="solid">
          <bgColor theme="9" tint="0.7999799847602844"/>
        </patternFill>
      </fill>
    </dxf>
    <dxf>
      <fill>
        <patternFill patternType="solid">
          <bgColor theme="9" tint="0.7999799847602844"/>
        </patternFill>
      </fill>
    </dxf>
    <dxf>
      <fill>
        <patternFill patternType="solid">
          <bgColor theme="9" tint="0.7999799847602844"/>
        </patternFill>
      </fill>
    </dxf>
    <dxf>
      <fill>
        <patternFill patternType="solid">
          <bgColor theme="9" tint="0.7999799847602844"/>
        </patternFill>
      </fill>
    </dxf>
    <dxf>
      <fill>
        <patternFill patternType="solid">
          <bgColor theme="9" tint="0.7999799847602844"/>
        </patternFill>
      </fill>
    </dxf>
    <dxf>
      <fill>
        <patternFill patternType="solid">
          <bgColor theme="9" tint="0.7999799847602844"/>
        </patternFill>
      </fill>
    </dxf>
    <dxf>
      <fill>
        <patternFill patternType="solid">
          <bgColor theme="9" tint="0.7999799847602844"/>
        </patternFill>
      </fill>
    </dxf>
    <dxf>
      <fill>
        <patternFill patternType="solid">
          <bgColor theme="9" tint="0.7999799847602844"/>
        </patternFill>
      </fill>
    </dxf>
    <dxf>
      <fill>
        <patternFill patternType="solid">
          <bgColor theme="9" tint="0.7999799847602844"/>
        </patternFill>
      </fill>
    </dxf>
    <dxf>
      <fill>
        <patternFill patternType="solid">
          <bgColor theme="9" tint="0.7999799847602844"/>
        </patternFill>
      </fill>
    </dxf>
    <dxf>
      <fill>
        <patternFill patternType="solid">
          <bgColor theme="9" tint="0.7999799847602844"/>
        </patternFill>
      </fill>
    </dxf>
    <dxf>
      <fill>
        <patternFill patternType="solid">
          <bgColor theme="9" tint="0.7999799847602844"/>
        </patternFill>
      </fill>
    </dxf>
    <dxf>
      <fill>
        <patternFill patternType="solid">
          <bgColor theme="9" tint="0.7999799847602844"/>
        </patternFill>
      </fill>
    </dxf>
    <dxf>
      <fill>
        <patternFill patternType="solid">
          <bgColor theme="9" tint="0.7999799847602844"/>
        </patternFill>
      </fill>
    </dxf>
    <dxf>
      <fill>
        <patternFill patternType="solid">
          <bgColor theme="9" tint="0.7999799847602844"/>
        </patternFill>
      </fill>
    </dxf>
    <dxf>
      <fill>
        <patternFill patternType="solid">
          <bgColor theme="9" tint="0.7999799847602844"/>
        </patternFill>
      </fill>
    </dxf>
    <dxf>
      <fill>
        <patternFill patternType="solid">
          <bgColor theme="9" tint="0.7999799847602844"/>
        </patternFill>
      </fill>
    </dxf>
    <dxf>
      <fill>
        <patternFill patternType="solid">
          <bgColor theme="9" tint="0.7999799847602844"/>
        </patternFill>
      </fill>
    </dxf>
    <dxf>
      <fill>
        <patternFill patternType="solid">
          <bgColor theme="9" tint="0.7999799847602844"/>
        </patternFill>
      </fill>
    </dxf>
    <dxf>
      <fill>
        <patternFill patternType="solid">
          <bgColor theme="9" tint="0.7999799847602844"/>
        </patternFill>
      </fill>
    </dxf>
    <dxf>
      <fill>
        <patternFill patternType="solid">
          <bgColor theme="9" tint="0.7999799847602844"/>
        </patternFill>
      </fill>
    </dxf>
    <dxf>
      <fill>
        <patternFill patternType="solid">
          <bgColor theme="9" tint="0.7999799847602844"/>
        </patternFill>
      </fill>
    </dxf>
    <dxf>
      <fill>
        <patternFill patternType="solid">
          <bgColor theme="9" tint="0.7999799847602844"/>
        </patternFill>
      </fill>
    </dxf>
    <dxf>
      <fill>
        <patternFill patternType="solid">
          <bgColor theme="9" tint="0.7999799847602844"/>
        </patternFill>
      </fill>
    </dxf>
    <dxf>
      <fill>
        <patternFill patternType="solid">
          <bgColor theme="9" tint="0.7999799847602844"/>
        </patternFill>
      </fill>
    </dxf>
    <dxf>
      <fill>
        <patternFill patternType="solid">
          <bgColor theme="9" tint="0.7999799847602844"/>
        </patternFill>
      </fill>
    </dxf>
    <dxf>
      <numFmt numFmtId="165" formatCode="_-* #,##0_-;\-* #,##0_-;_-* &quot;-&quot;??_-;_-@_-"/>
    </dxf>
    <dxf>
      <numFmt numFmtId="165" formatCode="_-* #,##0_-;\-* #,##0_-;_-* &quot;-&quot;??_-;_-@_-"/>
    </dxf>
    <dxf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ill>
        <patternFill patternType="solid">
          <bgColor rgb="FFFFFF0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bottom style="thin"/>
      </border>
    </dxf>
    <dxf>
      <alignment horizontal="left" vertical="center" textRotation="0" wrapText="1" shrinkToFit="1" readingOrder="0"/>
    </dxf>
    <dxf>
      <font>
        <b val="0"/>
        <i val="0"/>
        <u val="none"/>
        <strike val="0"/>
        <sz val="11"/>
        <name val="Calibri"/>
        <color theme="0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alignment horizontal="left" vertical="center" textRotation="0" wrapText="1" shrinkToFit="1" readingOrder="0"/>
    </dxf>
    <dxf>
      <numFmt numFmtId="168" formatCode="dd\-mmm\-yy"/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9" tint="0.39998000860214233"/>
        </patternFill>
      </fill>
      <alignment horizontal="general" vertical="bottom" textRotation="0" wrapText="1" shrinkToFit="1" readingOrder="0"/>
    </dxf>
    <dxf>
      <numFmt numFmtId="165" formatCode="_-* #,##0_-;\-* #,##0_-;_-* &quot;-&quot;??_-;_-@_-"/>
    </dxf>
    <dxf>
      <numFmt numFmtId="165" formatCode="_-* #,##0_-;\-* #,##0_-;_-* &quot;-&quot;??_-;_-@_-"/>
    </dxf>
    <dxf>
      <fill>
        <patternFill patternType="solid">
          <bgColor theme="9" tint="0.7999799847602844"/>
        </patternFill>
      </fill>
    </dxf>
    <dxf>
      <fill>
        <patternFill patternType="solid">
          <bgColor theme="9" tint="0.7999799847602844"/>
        </patternFill>
      </fill>
    </dxf>
    <dxf>
      <fill>
        <patternFill patternType="solid">
          <bgColor theme="9" tint="0.7999799847602844"/>
        </patternFill>
      </fill>
    </dxf>
    <dxf>
      <fill>
        <patternFill patternType="solid">
          <bgColor theme="9" tint="0.7999799847602844"/>
        </patternFill>
      </fill>
    </dxf>
    <dxf>
      <fill>
        <patternFill patternType="solid">
          <bgColor theme="9" tint="0.7999799847602844"/>
        </patternFill>
      </fill>
    </dxf>
    <dxf>
      <fill>
        <patternFill patternType="solid">
          <bgColor theme="9" tint="0.7999799847602844"/>
        </patternFill>
      </fill>
    </dxf>
    <dxf>
      <fill>
        <patternFill patternType="solid">
          <bgColor theme="9" tint="0.7999799847602844"/>
        </patternFill>
      </fill>
    </dxf>
    <dxf>
      <fill>
        <patternFill patternType="solid">
          <bgColor theme="9" tint="0.7999799847602844"/>
        </patternFill>
      </fill>
    </dxf>
    <dxf>
      <fill>
        <patternFill patternType="solid">
          <bgColor theme="9" tint="0.7999799847602844"/>
        </patternFill>
      </fill>
    </dxf>
    <dxf>
      <fill>
        <patternFill patternType="solid">
          <bgColor theme="9" tint="0.7999799847602844"/>
        </patternFill>
      </fill>
    </dxf>
    <dxf>
      <fill>
        <patternFill patternType="solid">
          <bgColor theme="9" tint="0.7999799847602844"/>
        </patternFill>
      </fill>
    </dxf>
    <dxf>
      <fill>
        <patternFill patternType="solid">
          <bgColor theme="9" tint="0.7999799847602844"/>
        </patternFill>
      </fill>
    </dxf>
    <dxf>
      <fill>
        <patternFill patternType="solid">
          <bgColor theme="9" tint="0.7999799847602844"/>
        </patternFill>
      </fill>
    </dxf>
    <dxf>
      <fill>
        <patternFill patternType="solid">
          <bgColor theme="9" tint="0.7999799847602844"/>
        </patternFill>
      </fill>
    </dxf>
    <dxf>
      <fill>
        <patternFill patternType="solid">
          <bgColor theme="9" tint="0.7999799847602844"/>
        </patternFill>
      </fill>
    </dxf>
    <dxf>
      <fill>
        <patternFill patternType="solid">
          <bgColor theme="9" tint="0.7999799847602844"/>
        </patternFill>
      </fill>
    </dxf>
    <dxf>
      <fill>
        <patternFill patternType="solid">
          <bgColor theme="9" tint="0.7999799847602844"/>
        </patternFill>
      </fill>
    </dxf>
    <dxf>
      <fill>
        <patternFill patternType="solid">
          <bgColor theme="9" tint="0.7999799847602844"/>
        </patternFill>
      </fill>
    </dxf>
    <dxf>
      <fill>
        <patternFill patternType="solid">
          <bgColor theme="9" tint="0.7999799847602844"/>
        </patternFill>
      </fill>
    </dxf>
    <dxf>
      <fill>
        <patternFill patternType="solid">
          <bgColor theme="9" tint="0.7999799847602844"/>
        </patternFill>
      </fill>
    </dxf>
    <dxf>
      <fill>
        <patternFill patternType="solid">
          <bgColor theme="9" tint="0.7999799847602844"/>
        </patternFill>
      </fill>
    </dxf>
    <dxf>
      <fill>
        <patternFill patternType="solid">
          <bgColor theme="9" tint="0.7999799847602844"/>
        </patternFill>
      </fill>
    </dxf>
    <dxf>
      <fill>
        <patternFill patternType="solid">
          <bgColor theme="9" tint="0.7999799847602844"/>
        </patternFill>
      </fill>
    </dxf>
    <dxf>
      <fill>
        <patternFill patternType="solid">
          <bgColor theme="9" tint="0.7999799847602844"/>
        </patternFill>
      </fill>
    </dxf>
    <dxf>
      <fill>
        <patternFill patternType="solid">
          <bgColor theme="9" tint="0.7999799847602844"/>
        </patternFill>
      </fill>
    </dxf>
    <dxf>
      <fill>
        <patternFill patternType="solid">
          <bgColor theme="9" tint="0.7999799847602844"/>
        </patternFill>
      </fill>
    </dxf>
    <dxf>
      <fill>
        <patternFill patternType="solid">
          <bgColor theme="9" tint="0.7999799847602844"/>
        </patternFill>
      </fill>
    </dxf>
    <dxf>
      <fill>
        <patternFill patternType="solid">
          <bgColor theme="9" tint="0.7999799847602844"/>
        </patternFill>
      </fill>
    </dxf>
    <dxf>
      <fill>
        <patternFill patternType="solid">
          <bgColor theme="9" tint="0.7999799847602844"/>
        </patternFill>
      </fill>
    </dxf>
    <dxf>
      <fill>
        <patternFill patternType="solid">
          <bgColor theme="9" tint="0.7999799847602844"/>
        </patternFill>
      </fill>
    </dxf>
    <dxf>
      <fill>
        <patternFill patternType="solid">
          <bgColor theme="0" tint="-0.3499799966812134"/>
        </patternFill>
      </fill>
      <alignment horizontal="right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3499799966812134"/>
        </patternFill>
      </fill>
      <alignment horizontal="right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3499799966812134"/>
        </patternFill>
      </fill>
      <alignment horizontal="right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3499799966812134"/>
        </patternFill>
      </fill>
      <alignment horizontal="right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3499799966812134"/>
        </patternFill>
      </fill>
      <alignment horizontal="right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3499799966812134"/>
        </patternFill>
      </fill>
      <alignment horizontal="right" textRotation="0" wrapText="1" shrinkToFit="1" readingOrder="0"/>
      <border>
        <left style="thin"/>
        <right style="thin"/>
        <top style="thin"/>
        <bottom style="thin"/>
      </border>
    </dxf>
    <dxf>
      <numFmt numFmtId="177" formatCode="General"/>
      <fill>
        <patternFill patternType="solid">
          <bgColor theme="0" tint="-0.3499799966812134"/>
        </patternFill>
      </fill>
      <alignment horizontal="right" textRotation="0" wrapText="1" shrinkToFit="1" readingOrder="0"/>
      <border>
        <left style="thin"/>
        <right style="thin"/>
        <top style="thin"/>
        <bottom style="thin"/>
      </border>
    </dxf>
    <dxf>
      <numFmt numFmtId="177" formatCode="General"/>
      <fill>
        <patternFill patternType="solid">
          <bgColor theme="0" tint="-0.3499799966812134"/>
        </patternFill>
      </fill>
      <alignment horizontal="right" textRotation="0" wrapText="1" shrinkToFit="1" readingOrder="0"/>
      <border>
        <left style="thin"/>
        <right style="thin"/>
        <top style="thin"/>
        <bottom style="thin"/>
      </border>
    </dxf>
    <dxf>
      <alignment horizontal="right" textRotation="0" wrapText="1" shrinkToFit="1" readingOrder="0"/>
      <border>
        <left style="thin"/>
        <right style="thin"/>
        <top style="thin"/>
        <bottom style="thin"/>
      </border>
    </dxf>
    <dxf>
      <alignment horizontal="right" textRotation="0" wrapText="1" shrinkToFit="1" readingOrder="0"/>
      <border>
        <left style="thin"/>
        <right style="thin"/>
        <top style="thin"/>
        <bottom style="thin"/>
      </border>
    </dxf>
    <dxf>
      <alignment horizontal="right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right" textRotation="0" wrapText="1" shrinkToFit="1" readingOrder="0"/>
      <border>
        <left style="thin"/>
        <right style="thin"/>
        <top style="thin"/>
        <bottom style="thin"/>
      </border>
    </dxf>
    <dxf>
      <alignment horizontal="right" textRotation="0" wrapText="1" shrinkToFit="1" readingOrder="0"/>
      <border>
        <left style="thin"/>
        <right style="thin"/>
        <top style="thin"/>
        <bottom style="thin"/>
      </border>
    </dxf>
    <dxf>
      <alignment horizontal="right" textRotation="0" wrapText="1" shrinkToFit="1" readingOrder="0"/>
      <border>
        <left style="thin"/>
        <right style="thin"/>
        <top style="thin"/>
        <bottom style="thin"/>
      </border>
    </dxf>
    <dxf>
      <alignment horizontal="right" textRotation="0" wrapText="1" shrinkToFit="1" readingOrder="0"/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  <vertical style="thin"/>
        <horizontal style="thin"/>
      </border>
    </dxf>
    <dxf>
      <numFmt numFmtId="168" formatCode="dd\-mmm\-yy"/>
      <border>
        <left style="thin"/>
        <right style="thin"/>
        <top style="thin"/>
        <bottom style="thin"/>
        <vertical style="thin"/>
        <horizontal style="thin"/>
      </border>
    </dxf>
    <dxf>
      <border>
        <bottom style="thin"/>
      </border>
    </dxf>
    <dxf>
      <fill>
        <patternFill patternType="solid">
          <bgColor theme="3" tint="0.7999799847602844"/>
        </patternFill>
      </fill>
      <alignment horizontal="center" vertical="bottom" textRotation="90" wrapText="1" shrinkToFit="1" readingOrder="0"/>
    </dxf>
    <dxf>
      <alignment horizontal="right" textRotation="0" wrapText="1" shrinkToFit="1" readingOrder="0"/>
    </dxf>
    <dxf>
      <alignment horizontal="left" textRotation="0" wrapText="1" shrinkToFit="1" readingOrder="0"/>
    </dxf>
    <dxf>
      <alignment vertical="top" textRotation="0" wrapText="1" shrinkToFit="1" readingOrder="0"/>
    </dxf>
    <dxf>
      <alignment vertical="top" textRotation="0" wrapText="1" shrinkToFit="1" readingOrder="0"/>
    </dxf>
    <dxf>
      <alignment textRotation="0" wrapText="1" shrinkToFit="1" readingOrder="0"/>
    </dxf>
    <dxf>
      <alignment horizontal="right" textRotation="0" wrapText="1" shrinkToFit="1" readingOrder="0"/>
    </dxf>
    <dxf>
      <alignment horizontal="left" textRotation="0" wrapText="1" shrinkToFit="1" readingOrder="0"/>
    </dxf>
    <dxf>
      <alignment vertical="top" textRotation="0" wrapText="1" shrinkToFit="1" readingOrder="0"/>
    </dxf>
    <dxf>
      <alignment vertical="top" textRotation="0" wrapText="1" shrinkToFit="1" readingOrder="0"/>
    </dxf>
    <dxf>
      <alignment textRotation="0" wrapText="1" shrinkToFit="1" readingOrder="0"/>
    </dxf>
    <dxf>
      <numFmt numFmtId="177" formatCode="General"/>
    </dxf>
    <dxf>
      <alignment horizontal="left" vertical="center" textRotation="0" wrapText="1" shrinkToFit="1" readingOrder="0"/>
    </dxf>
    <dxf>
      <numFmt numFmtId="168" formatCode="dd\-mmm\-yy"/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9" tint="0.39998000860214233"/>
        </patternFill>
      </fill>
      <alignment horizontal="general" vertical="bottom" textRotation="0" wrapText="1" shrinkToFit="1" readingOrder="0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0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0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0"/>
        </patternFill>
      </fill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0"/>
        </patternFill>
      </fill>
    </dxf>
    <dxf>
      <fill>
        <patternFill patternType="solid">
          <bgColor rgb="FFFF000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alignment horizontal="left" vertical="center" textRotation="0" wrapText="1" shrinkToFit="1" readingOrder="0"/>
      <border>
        <left style="thin"/>
        <right/>
        <top style="thin"/>
        <bottom style="thin"/>
        <vertical/>
        <horizontal/>
      </border>
    </dxf>
    <dxf>
      <fill>
        <patternFill patternType="solid">
          <bgColor rgb="FFFF000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ill>
        <patternFill patternType="solid">
          <bgColor rgb="FFFF000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color rgb="FFFF0000"/>
      </font>
      <numFmt numFmtId="177" formatCode="General"/>
      <fill>
        <patternFill patternType="solid">
          <bgColor rgb="FFFF000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ill>
        <patternFill patternType="solid">
          <bgColor rgb="FFFF000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ill>
        <patternFill patternType="solid">
          <bgColor rgb="FFFF000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ill>
        <patternFill patternType="solid">
          <bgColor rgb="FFFF000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ill>
        <patternFill patternType="solid">
          <bgColor rgb="FFFF000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ill>
        <patternFill patternType="solid">
          <bgColor rgb="FFFF000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ill>
        <patternFill patternType="solid">
          <bgColor rgb="FFFF000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ill>
        <patternFill patternType="solid">
          <bgColor rgb="FFFF000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ill>
        <patternFill patternType="solid">
          <bgColor rgb="FFFF000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ill>
        <patternFill patternType="solid">
          <bgColor rgb="FFFF0000"/>
        </patternFill>
      </fill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border>
        <left style="thin"/>
        <right style="thin"/>
        <bottom style="thin"/>
      </border>
    </dxf>
    <dxf>
      <alignment horizontal="left" vertical="center" textRotation="0" wrapText="1" shrinkToFit="1" readingOrder="0"/>
    </dxf>
    <dxf>
      <font>
        <b val="0"/>
        <i val="0"/>
        <u val="none"/>
        <strike val="0"/>
        <sz val="11"/>
        <name val="Calibri"/>
        <color theme="0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pivotCacheDefinition" Target="pivotCache/pivotCacheDefinition3.xml" /><Relationship Id="rId22" Type="http://schemas.openxmlformats.org/officeDocument/2006/relationships/pivotCacheDefinition" Target="pivotCache/pivotCacheDefinition1.xml" /><Relationship Id="rId23" Type="http://schemas.openxmlformats.org/officeDocument/2006/relationships/pivotCacheDefinition" Target="pivotCache/pivotCacheDefinition2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externalLink" Target="externalLinks/externalLink6.xml" /><Relationship Id="rId32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pivotSource>
    <c:name>[0]CampAnalysis!PivotTable2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Kashin State</a:t>
            </a: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# of IDPs /Township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CampAnalysis!$Q$28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CampAnalysis!$P$29:$P$47</c:f>
              <c:strCache>
                <c:ptCount val="18"/>
                <c:pt idx="0">
                  <c:v>Waingmaw</c:v>
                </c:pt>
                <c:pt idx="1">
                  <c:v>Momauk</c:v>
                </c:pt>
                <c:pt idx="2">
                  <c:v>Mansi</c:v>
                </c:pt>
                <c:pt idx="3">
                  <c:v>Myitkyina</c:v>
                </c:pt>
                <c:pt idx="4">
                  <c:v>Hpakan</c:v>
                </c:pt>
                <c:pt idx="5">
                  <c:v>Bhamo</c:v>
                </c:pt>
                <c:pt idx="6">
                  <c:v>Shwegu</c:v>
                </c:pt>
                <c:pt idx="7">
                  <c:v>Namhkan</c:v>
                </c:pt>
                <c:pt idx="8">
                  <c:v>Muse</c:v>
                </c:pt>
                <c:pt idx="9">
                  <c:v>Chipwi</c:v>
                </c:pt>
                <c:pt idx="10">
                  <c:v>Kutkai</c:v>
                </c:pt>
                <c:pt idx="11">
                  <c:v>Manton</c:v>
                </c:pt>
                <c:pt idx="12">
                  <c:v>Mogaung</c:v>
                </c:pt>
                <c:pt idx="13">
                  <c:v>Mohnyin</c:v>
                </c:pt>
                <c:pt idx="14">
                  <c:v>Khaunglanhpu</c:v>
                </c:pt>
                <c:pt idx="15">
                  <c:v>Namtu</c:v>
                </c:pt>
                <c:pt idx="16">
                  <c:v>Injangyang</c:v>
                </c:pt>
                <c:pt idx="17">
                  <c:v>Puta-O</c:v>
                </c:pt>
              </c:strCache>
            </c:strRef>
          </c:cat>
          <c:val>
            <c:numRef>
              <c:f>CampAnalysis!$Q$29:$Q$47</c:f>
              <c:numCache>
                <c:formatCode>General</c:formatCode>
                <c:ptCount val="18"/>
                <c:pt idx="0">
                  <c:v>26775</c:v>
                </c:pt>
                <c:pt idx="1">
                  <c:v>25037</c:v>
                </c:pt>
                <c:pt idx="2">
                  <c:v>7286</c:v>
                </c:pt>
                <c:pt idx="3">
                  <c:v>6480</c:v>
                </c:pt>
                <c:pt idx="4">
                  <c:v>5872</c:v>
                </c:pt>
                <c:pt idx="5">
                  <c:v>5768</c:v>
                </c:pt>
                <c:pt idx="6">
                  <c:v>2153</c:v>
                </c:pt>
                <c:pt idx="7">
                  <c:v>1367</c:v>
                </c:pt>
                <c:pt idx="8">
                  <c:v>882</c:v>
                </c:pt>
                <c:pt idx="9">
                  <c:v>830</c:v>
                </c:pt>
                <c:pt idx="10">
                  <c:v>571</c:v>
                </c:pt>
                <c:pt idx="11">
                  <c:v>260</c:v>
                </c:pt>
                <c:pt idx="12">
                  <c:v>188</c:v>
                </c:pt>
                <c:pt idx="13">
                  <c:v>143</c:v>
                </c:pt>
                <c:pt idx="14">
                  <c:v>107</c:v>
                </c:pt>
                <c:pt idx="15">
                  <c:v>74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35443915"/>
        <c:axId val="50559780"/>
      </c:barChart>
      <c:catAx>
        <c:axId val="354439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559780"/>
        <c:crosses val="autoZero"/>
        <c:auto val="1"/>
        <c:lblOffset val="100"/>
        <c:noMultiLvlLbl val="0"/>
      </c:catAx>
      <c:valAx>
        <c:axId val="505597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443915"/>
        <c:crosses val="autoZero"/>
        <c:crossBetween val="between"/>
        <c:dispUnits>
          <c:builtInUnit val="thousands"/>
        </c:dispUnits>
      </c:valAx>
    </c:plotArea>
    <c:plotVisOnly val="1"/>
    <c:dispBlanksAs val="gap"/>
    <c:showDLblsOverMax val="0"/>
    <c:pivotFmts xmlns:c="http://schemas.openxmlformats.org/drawingml/2006/chart">
      <c:pivotFmt>
        <c:idx val="0"/>
      </c:pivotFmt>
      <c:pivotFmt>
        <c:idx val="1"/>
      </c:pivotFmt>
      <c:pivotFmt>
        <c:idx val="2"/>
      </c:pivotFmt>
      <c:pivotFmt>
        <c:idx val="3"/>
        <c:marker>
          <c:symbol val="none"/>
        </c:marker>
      </c:pivotFmt>
    </c:pivotFmts>
  </c:chart>
  <c:extLst xmlns:c="http://schemas.microsoft.com/office/drawing/2007/8/2/chart">
    <c:ext uri="{781A3756-C4B2-4CAC-9D66-4F8BD8637D16}">
      <c14:pivotOptions xmlns:c14="http://schemas.microsoft.com/office/drawing/2007/8/2/chart">
        <c14:dropZonesVisible val="1"/>
      </c14:pivotOptions>
    </c:ext>
  </c:extLs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1"/>
          <c:y val="0.1135"/>
          <c:w val="0.6455"/>
          <c:h val="0.76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Kachin_CCCM_D!$W$7</c:f>
              <c:strCache>
                <c:ptCount val="1"/>
                <c:pt idx="0">
                  <c:v>Total # of Population</c:v>
                </c:pt>
              </c:strCache>
            </c:strRef>
          </c:tx>
          <c:spPr>
            <a:solidFill>
              <a:srgbClr val="7030A0">
                <a:alpha val="12000"/>
              </a:srgbClr>
            </a:solidFill>
            <a:effectLst>
              <a:outerShdw blurRad="38100" dist="127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Kachin_CCCM_D!$U$8:$U$27</c:f>
              <c:strCache/>
            </c:strRef>
          </c:cat>
          <c:val>
            <c:numRef>
              <c:f>Kachin_CCCM_D!$W$8:$W$27</c:f>
              <c:numCache/>
            </c:numRef>
          </c:val>
        </c:ser>
        <c:gapWidth val="55"/>
        <c:axId val="15351745"/>
        <c:axId val="3947978"/>
      </c:barChart>
      <c:catAx>
        <c:axId val="153517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3947978"/>
        <c:crosses val="autoZero"/>
        <c:auto val="1"/>
        <c:lblOffset val="100"/>
        <c:noMultiLvlLbl val="0"/>
      </c:catAx>
      <c:valAx>
        <c:axId val="394797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u="none" baseline="0">
                    <a:latin typeface="Franklin Gothic Book"/>
                    <a:ea typeface="Franklin Gothic Medium Cond"/>
                    <a:cs typeface="Franklin Gothic Medium Cond"/>
                  </a:rPr>
                  <a:t># of Camps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chemeClr val="bg1">
                  <a:lumMod val="50000"/>
                  <a:alpha val="12000"/>
                </a:schemeClr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u="none" baseline="0">
                <a:latin typeface="Franklin Gothic Book"/>
                <a:ea typeface="Franklin Gothic Book"/>
                <a:cs typeface="Franklin Gothic Book"/>
              </a:defRPr>
            </a:pPr>
          </a:p>
        </c:txPr>
        <c:crossAx val="1535174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>
        <a:alpha val="50000"/>
      </a:schemeClr>
    </a:solidFill>
    <a:ln>
      <a:noFill/>
    </a:ln>
  </c:spPr>
  <c:txPr>
    <a:bodyPr vert="horz" rot="0"/>
    <a:lstStyle/>
    <a:p>
      <a:pPr>
        <a:defRPr lang="en-US" cap="none" sz="900" u="none" baseline="0">
          <a:latin typeface="Franklin Gothic Book"/>
          <a:ea typeface="Franklin Gothic Book"/>
          <a:cs typeface="Franklin Gothic Book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Shelters (% pop covered) in Rakhine State by Township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5"/>
          <c:order val="0"/>
          <c:spPr>
            <a:solidFill>
              <a:srgbClr val="92D05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Shelter_Progress!$A$7:$A$16</c:f>
              <c:strCache/>
            </c:strRef>
          </c:cat>
          <c:val>
            <c:numRef>
              <c:f>Shelter_Progress!$N$7:$N$16</c:f>
              <c:numCache/>
            </c:numRef>
          </c:val>
        </c:ser>
        <c:gapWidth val="75"/>
        <c:axId val="35531803"/>
        <c:axId val="51350772"/>
      </c:barChart>
      <c:catAx>
        <c:axId val="355318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1350772"/>
        <c:crosses val="autoZero"/>
        <c:auto val="1"/>
        <c:lblOffset val="100"/>
        <c:noMultiLvlLbl val="0"/>
      </c:catAx>
      <c:valAx>
        <c:axId val="51350772"/>
        <c:scaling>
          <c:orientation val="minMax"/>
        </c:scaling>
        <c:axPos val="l"/>
        <c:majorGridlines/>
        <c:delete val="0"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35531803"/>
        <c:crosses val="autoZero"/>
        <c:crossBetween val="between"/>
        <c:dispUnits/>
      </c:valAx>
      <c:spPr>
        <a:ln>
          <a:solidFill>
            <a:schemeClr val="accent1"/>
          </a:solidFill>
        </a:ln>
      </c:spPr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Shelters (% pop covered) in Kashin State by Township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5"/>
          <c:order val="0"/>
          <c:tx>
            <c:strRef>
              <c:f>Shelter_Progress!$N$21</c:f>
              <c:strCache>
                <c:ptCount val="1"/>
                <c:pt idx="0">
                  <c:v>Covered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Shelter_Progress!$A$22:$A$40</c:f>
              <c:strCache/>
            </c:strRef>
          </c:cat>
          <c:val>
            <c:numRef>
              <c:f>Shelter_Progress!$N$22:$N$40</c:f>
              <c:numCache/>
            </c:numRef>
          </c:val>
        </c:ser>
        <c:gapWidth val="75"/>
        <c:axId val="59503765"/>
        <c:axId val="65771838"/>
      </c:barChart>
      <c:catAx>
        <c:axId val="595037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5771838"/>
        <c:crosses val="autoZero"/>
        <c:auto val="1"/>
        <c:lblOffset val="100"/>
        <c:noMultiLvlLbl val="0"/>
      </c:catAx>
      <c:valAx>
        <c:axId val="65771838"/>
        <c:scaling>
          <c:orientation val="minMax"/>
        </c:scaling>
        <c:axPos val="l"/>
        <c:majorGridlines/>
        <c:delete val="0"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59503765"/>
        <c:crosses val="autoZero"/>
        <c:crossBetween val="between"/>
        <c:dispUnits/>
      </c:valAx>
      <c:spPr>
        <a:ln>
          <a:solidFill>
            <a:schemeClr val="accent1"/>
          </a:solidFill>
        </a:ln>
      </c:spPr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pivotSource>
    <c:name>[0]Shelter_Progress!PivotTable3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Temporary Shelter Construction in Rakhine State by Agency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Shelter_Progress!$B$96</c:f>
              <c:strCache>
                <c:ptCount val="1"/>
                <c:pt idx="0">
                  <c:v>Sum of #ofTemporaryShelterBuilt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Shelter_Progress!$A$97:$A$107</c:f>
              <c:strCache>
                <c:ptCount val="10"/>
                <c:pt idx="0">
                  <c:v>CARE</c:v>
                </c:pt>
                <c:pt idx="1">
                  <c:v>DRC</c:v>
                </c:pt>
                <c:pt idx="2">
                  <c:v>Government</c:v>
                </c:pt>
                <c:pt idx="3">
                  <c:v>IRW</c:v>
                </c:pt>
                <c:pt idx="4">
                  <c:v>MAUK</c:v>
                </c:pt>
                <c:pt idx="5">
                  <c:v>MRCS</c:v>
                </c:pt>
                <c:pt idx="6">
                  <c:v>MRF/ACT</c:v>
                </c:pt>
                <c:pt idx="7">
                  <c:v>Service City</c:v>
                </c:pt>
                <c:pt idx="8">
                  <c:v>UNHCR</c:v>
                </c:pt>
                <c:pt idx="9">
                  <c:v>WFP</c:v>
                </c:pt>
              </c:strCache>
            </c:strRef>
          </c:cat>
          <c:val>
            <c:numRef>
              <c:f>Shelter_Progress!$B$97:$B$107</c:f>
              <c:numCache/>
            </c:numRef>
          </c:val>
        </c:ser>
        <c:ser>
          <c:idx val="1"/>
          <c:order val="1"/>
          <c:tx>
            <c:strRef>
              <c:f>Shelter_Progress!$C$96</c:f>
              <c:strCache>
                <c:ptCount val="1"/>
                <c:pt idx="0">
                  <c:v>Sum of #ofTemporaryShelterUnderConstruction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Shelter_Progress!$A$97:$A$107</c:f>
              <c:strCache>
                <c:ptCount val="10"/>
                <c:pt idx="0">
                  <c:v>CARE</c:v>
                </c:pt>
                <c:pt idx="1">
                  <c:v>DRC</c:v>
                </c:pt>
                <c:pt idx="2">
                  <c:v>Government</c:v>
                </c:pt>
                <c:pt idx="3">
                  <c:v>IRW</c:v>
                </c:pt>
                <c:pt idx="4">
                  <c:v>MAUK</c:v>
                </c:pt>
                <c:pt idx="5">
                  <c:v>MRCS</c:v>
                </c:pt>
                <c:pt idx="6">
                  <c:v>MRF/ACT</c:v>
                </c:pt>
                <c:pt idx="7">
                  <c:v>Service City</c:v>
                </c:pt>
                <c:pt idx="8">
                  <c:v>UNHCR</c:v>
                </c:pt>
                <c:pt idx="9">
                  <c:v>WFP</c:v>
                </c:pt>
              </c:strCache>
            </c:strRef>
          </c:cat>
          <c:val>
            <c:numRef>
              <c:f>Shelter_Progress!$C$97:$C$107</c:f>
              <c:numCache/>
            </c:numRef>
          </c:val>
        </c:ser>
        <c:overlap val="100"/>
        <c:axId val="55075631"/>
        <c:axId val="25918632"/>
      </c:barChart>
      <c:catAx>
        <c:axId val="55075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918632"/>
        <c:crosses val="autoZero"/>
        <c:auto val="1"/>
        <c:lblOffset val="100"/>
        <c:noMultiLvlLbl val="0"/>
      </c:catAx>
      <c:valAx>
        <c:axId val="259186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7563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  <c:pivotFmts xmlns:c="http://schemas.openxmlformats.org/drawingml/2006/chart"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spPr>
          <a:solidFill xmlns:a="http://schemas.openxmlformats.org/drawingml/2006/main">
            <a:srgbClr val="92D050"/>
          </a:solidFill>
        </c:spPr>
        <c:marker>
          <c:symbol val="none"/>
        </c:marker>
      </c:pivotFmt>
      <c:pivotFmt>
        <c:idx val="5"/>
        <c:spPr>
          <a:solidFill xmlns:a="http://schemas.openxmlformats.org/drawingml/2006/main">
            <a:srgbClr val="FFC000"/>
          </a:solidFill>
        </c:spPr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</c:pivotFmts>
  </c:chart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</c14:pivotOptions>
    </c:ext>
  </c:extLs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pivotSource>
    <c:name>[0]Shelter_Progress!PivotTable5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Permanent House Construction in Kashin State by Agency</a:t>
            </a:r>
            <a:r>
              <a:rPr lang="en-US" cap="none" sz="1800" b="0" i="0" u="none" baseline="0">
                <a:latin typeface="Calibri"/>
                <a:ea typeface="Calibri"/>
                <a:cs typeface="Calibri"/>
              </a:rPr>
              <a:t>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Shelter_Progress!$I$96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Shelter_Progress!$H$97:$H$99</c:f>
              <c:strCache>
                <c:ptCount val="2"/>
                <c:pt idx="0">
                  <c:v>DRC</c:v>
                </c:pt>
                <c:pt idx="1">
                  <c:v>UNHCR</c:v>
                </c:pt>
              </c:strCache>
            </c:strRef>
          </c:cat>
          <c:val>
            <c:numRef>
              <c:f>Shelter_Progress!$I$97:$I$99</c:f>
              <c:numCache/>
            </c:numRef>
          </c:val>
        </c:ser>
        <c:overlap val="100"/>
        <c:axId val="31941097"/>
        <c:axId val="19034418"/>
      </c:barChart>
      <c:catAx>
        <c:axId val="31941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34418"/>
        <c:crosses val="autoZero"/>
        <c:auto val="1"/>
        <c:lblOffset val="100"/>
        <c:noMultiLvlLbl val="0"/>
      </c:catAx>
      <c:valAx>
        <c:axId val="190344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41097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  <c:pivotFmts xmlns:c="http://schemas.openxmlformats.org/drawingml/2006/chart"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spPr>
          <a:solidFill xmlns:a="http://schemas.openxmlformats.org/drawingml/2006/main">
            <a:srgbClr val="92D050"/>
          </a:solidFill>
        </c:spPr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</c:pivotFmts>
  </c:chart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</c14:pivotOptions>
    </c:ext>
  </c:extLs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1"/>
          <c:y val="0.1135"/>
          <c:w val="0.75075"/>
          <c:h val="0.76075"/>
        </c:manualLayout>
      </c:layout>
      <c:barChart>
        <c:barDir val="bar"/>
        <c:grouping val="clustered"/>
        <c:varyColors val="0"/>
        <c:ser>
          <c:idx val="10"/>
          <c:order val="0"/>
          <c:tx>
            <c:strRef>
              <c:f>Shelter_Progress!$K$6</c:f>
              <c:strCache>
                <c:ptCount val="1"/>
                <c:pt idx="0">
                  <c:v>Coverage (HH)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Shelter_Progress!$A$7:$A$16</c:f>
              <c:strCache/>
            </c:strRef>
          </c:cat>
          <c:val>
            <c:numRef>
              <c:f>Shelter_Progress!$K$7:$K$16</c:f>
              <c:numCache/>
            </c:numRef>
          </c:val>
        </c:ser>
        <c:gapWidth val="55"/>
        <c:axId val="37092035"/>
        <c:axId val="65392860"/>
      </c:barChart>
      <c:catAx>
        <c:axId val="370920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65392860"/>
        <c:crosses val="autoZero"/>
        <c:auto val="1"/>
        <c:lblOffset val="100"/>
        <c:noMultiLvlLbl val="0"/>
      </c:catAx>
      <c:valAx>
        <c:axId val="6539286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u="none" baseline="0">
                    <a:latin typeface="Franklin Gothic Book"/>
                    <a:ea typeface="Franklin Gothic Medium Cond"/>
                    <a:cs typeface="Franklin Gothic Medium Cond"/>
                  </a:rPr>
                  <a:t># of People (in 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chemeClr val="bg1">
                  <a:lumMod val="50000"/>
                  <a:alpha val="12000"/>
                </a:schemeClr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u="none" baseline="0">
                <a:latin typeface="Franklin Gothic Book"/>
                <a:ea typeface="Franklin Gothic Book"/>
                <a:cs typeface="Franklin Gothic Book"/>
              </a:defRPr>
            </a:pPr>
          </a:p>
        </c:txPr>
        <c:crossAx val="37092035"/>
        <c:crosses val="autoZero"/>
        <c:crossBetween val="between"/>
        <c:dispUnits>
          <c:builtInUnit val="thousands"/>
        </c:dispUnits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>
        <a:alpha val="50000"/>
      </a:schemeClr>
    </a:solidFill>
    <a:ln>
      <a:noFill/>
    </a:ln>
  </c:spPr>
  <c:txPr>
    <a:bodyPr vert="horz" rot="0"/>
    <a:lstStyle/>
    <a:p>
      <a:pPr>
        <a:defRPr lang="en-US" cap="none" sz="900" u="none" baseline="0">
          <a:latin typeface="Franklin Gothic Book"/>
          <a:ea typeface="Franklin Gothic Book"/>
          <a:cs typeface="Franklin Gothic Book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Rakhine_Shelter_D!$W$33</c:f>
              <c:strCache>
                <c:ptCount val="1"/>
                <c:pt idx="0">
                  <c:v># of People</c:v>
                </c:pt>
              </c:strCache>
            </c:strRef>
          </c:tx>
          <c:spPr>
            <a:ln w="12700">
              <a:solidFill>
                <a:schemeClr val="bg1"/>
              </a:solidFill>
            </a:ln>
            <a:effectLst>
              <a:outerShdw blurRad="63500" sx="102000" sy="102000" algn="ctr" rotWithShape="0">
                <a:prstClr val="black">
                  <a:alpha val="16000"/>
                </a:prstClr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>
                  <a:alpha val="45000"/>
                </a:srgbClr>
              </a:solidFill>
              <a:ln w="12700">
                <a:solidFill>
                  <a:schemeClr val="bg1"/>
                </a:solidFill>
              </a:ln>
              <a:effectLst>
                <a:outerShdw blurRad="63500" sx="102000" sy="102000" algn="ctr" rotWithShape="0">
                  <a:prstClr val="black">
                    <a:alpha val="16000"/>
                  </a:prstClr>
                </a:outerShdw>
              </a:effectLst>
            </c:spPr>
          </c:dPt>
          <c:dPt>
            <c:idx val="1"/>
            <c:spPr>
              <a:solidFill>
                <a:srgbClr val="C00000">
                  <a:alpha val="84000"/>
                </a:srgbClr>
              </a:solidFill>
              <a:ln w="12700">
                <a:solidFill>
                  <a:schemeClr val="bg1"/>
                </a:solidFill>
              </a:ln>
              <a:effectLst>
                <a:outerShdw blurRad="63500" sx="102000" sy="102000" algn="ctr" rotWithShape="0">
                  <a:prstClr val="black">
                    <a:alpha val="16000"/>
                  </a:prstClr>
                </a:outerShdw>
              </a:effectLst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u="none" baseline="0">
                    <a:solidFill>
                      <a:schemeClr val="tx1"/>
                    </a:solidFill>
                    <a:latin typeface="Franklin Gothic Medium Cond"/>
                    <a:ea typeface="Franklin Gothic Medium Cond"/>
                    <a:cs typeface="Franklin Gothic Medium Cond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Rakhine_Shelter_D!$V$34:$V$35</c:f>
              <c:strCache/>
            </c:strRef>
          </c:cat>
          <c:val>
            <c:numRef>
              <c:f>Rakhine_Shelter_D!$W$34:$W$35</c:f>
              <c:numCache/>
            </c:numRef>
          </c:val>
        </c:ser>
      </c:pieChart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bg1">
        <a:alpha val="50000"/>
      </a:schemeClr>
    </a:solidFill>
    <a:ln>
      <a:noFill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1"/>
    </mc:Choice>
    <mc:Fallback>
      <c:style val="2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25"/>
          <c:y val="0.2055"/>
          <c:w val="0.76175"/>
          <c:h val="0.5885"/>
        </c:manualLayout>
      </c:layout>
      <c:barChart>
        <c:barDir val="bar"/>
        <c:grouping val="stacked"/>
        <c:varyColors val="0"/>
        <c:ser>
          <c:idx val="10"/>
          <c:order val="0"/>
          <c:tx>
            <c:strRef>
              <c:f>Shelter_Progress!$L$6</c:f>
              <c:strCache>
                <c:ptCount val="1"/>
                <c:pt idx="0">
                  <c:v> Coverage (in Pop)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Shelter_Progress!$A$7:$A$16</c:f>
              <c:strCache/>
            </c:strRef>
          </c:cat>
          <c:val>
            <c:numRef>
              <c:f>Shelter_Progress!$L$7:$L$16</c:f>
              <c:numCache/>
            </c:numRef>
          </c:val>
        </c:ser>
        <c:overlap val="100"/>
        <c:gapWidth val="75"/>
        <c:axId val="51664829"/>
        <c:axId val="62330278"/>
      </c:barChart>
      <c:catAx>
        <c:axId val="5166482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62330278"/>
        <c:crosses val="autoZero"/>
        <c:auto val="1"/>
        <c:lblOffset val="100"/>
        <c:noMultiLvlLbl val="0"/>
      </c:catAx>
      <c:valAx>
        <c:axId val="62330278"/>
        <c:scaling>
          <c:orientation val="minMax"/>
          <c:min val="0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51664829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</c:legend>
    <c:plotVisOnly val="1"/>
    <c:dispBlanksAs val="gap"/>
    <c:showDLblsOverMax val="0"/>
    <c:pivotFmts xmlns:c="http://schemas.openxmlformats.org/drawingml/2006/chart">
      <c:pivotFmt>
        <c:idx val="0"/>
        <c:spPr>
          <a:solidFill xmlns:a="http://schemas.openxmlformats.org/drawingml/2006/main">
            <a:srgbClr val="FF0000">
              <a:alpha val="45000"/>
            </a:srgbClr>
          </a:solidFill>
        </c:spPr>
        <c:marker>
          <c:symbol val="none"/>
        </c:marker>
      </c:pivotFmt>
      <c:pivotFmt>
        <c:idx val="1"/>
        <c:spPr>
          <a:solidFill xmlns:a="http://schemas.openxmlformats.org/drawingml/2006/main">
            <a:srgbClr val="00B0F0">
              <a:alpha val="45000"/>
            </a:srgbClr>
          </a:solidFill>
        </c:spPr>
        <c:marker>
          <c:symbol val="none"/>
        </c:marker>
      </c:pivotFmt>
      <c:pivotFmt>
        <c:idx val="2"/>
        <c:spPr>
          <a:solidFill xmlns:a="http://schemas.openxmlformats.org/drawingml/2006/main">
            <a:srgbClr val="00B0F0">
              <a:alpha val="45000"/>
            </a:srgbClr>
          </a:solidFill>
          <a:ln xmlns:a="http://schemas.openxmlformats.org/drawingml/2006/main">
            <a:solidFill>
              <a:schemeClr val="tx1">
                <a:alpha val="20000"/>
              </a:schemeClr>
            </a:solidFill>
          </a:ln>
        </c:spPr>
        <c:marker>
          <c:symbol val="none"/>
        </c:marker>
      </c:pivotFmt>
      <c:pivotFmt>
        <c:idx val="3"/>
        <c:spPr>
          <a:solidFill xmlns:a="http://schemas.openxmlformats.org/drawingml/2006/main">
            <a:srgbClr val="FF0000">
              <a:alpha val="45000"/>
            </a:srgbClr>
          </a:solidFill>
          <a:ln xmlns:a="http://schemas.openxmlformats.org/drawingml/2006/main">
            <a:solidFill>
              <a:schemeClr val="tx1">
                <a:alpha val="20000"/>
              </a:schemeClr>
            </a:solidFill>
          </a:ln>
        </c:spPr>
        <c:marker>
          <c:symbol val="none"/>
        </c:marker>
      </c:pivotFmt>
    </c:pivotFmts>
  </c:chart>
  <c:spPr>
    <a:ln>
      <a:noFill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pivotSource>
    <c:name>[0]ShelterAgency!PivotTable1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# Shelters/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Agency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ShelterAgency!$B$7</c:f>
              <c:strCache>
                <c:ptCount val="1"/>
                <c:pt idx="0">
                  <c:v>Temporary Shelter Built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FFC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ShelterAgency!$A$8:$A$18</c:f>
              <c:strCache>
                <c:ptCount val="10"/>
                <c:pt idx="0">
                  <c:v>CARE</c:v>
                </c:pt>
                <c:pt idx="1">
                  <c:v>DRC</c:v>
                </c:pt>
                <c:pt idx="2">
                  <c:v>Government</c:v>
                </c:pt>
                <c:pt idx="3">
                  <c:v>IRW</c:v>
                </c:pt>
                <c:pt idx="4">
                  <c:v>MAUK</c:v>
                </c:pt>
                <c:pt idx="5">
                  <c:v>MRCS</c:v>
                </c:pt>
                <c:pt idx="6">
                  <c:v>MRF/ACT</c:v>
                </c:pt>
                <c:pt idx="7">
                  <c:v>Service City</c:v>
                </c:pt>
                <c:pt idx="8">
                  <c:v>UNHCR</c:v>
                </c:pt>
                <c:pt idx="9">
                  <c:v>WFP</c:v>
                </c:pt>
              </c:strCache>
            </c:strRef>
          </c:cat>
          <c:val>
            <c:numRef>
              <c:f>ShelterAgency!$B$8:$B$18</c:f>
              <c:numCache/>
            </c:numRef>
          </c:val>
        </c:ser>
        <c:ser>
          <c:idx val="1"/>
          <c:order val="1"/>
          <c:tx>
            <c:strRef>
              <c:f>ShelterAgency!$C$7</c:f>
              <c:strCache>
                <c:ptCount val="1"/>
                <c:pt idx="0">
                  <c:v>Temporary Shelter Under Construction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ShelterAgency!$A$8:$A$18</c:f>
              <c:strCache>
                <c:ptCount val="10"/>
                <c:pt idx="0">
                  <c:v>CARE</c:v>
                </c:pt>
                <c:pt idx="1">
                  <c:v>DRC</c:v>
                </c:pt>
                <c:pt idx="2">
                  <c:v>Government</c:v>
                </c:pt>
                <c:pt idx="3">
                  <c:v>IRW</c:v>
                </c:pt>
                <c:pt idx="4">
                  <c:v>MAUK</c:v>
                </c:pt>
                <c:pt idx="5">
                  <c:v>MRCS</c:v>
                </c:pt>
                <c:pt idx="6">
                  <c:v>MRF/ACT</c:v>
                </c:pt>
                <c:pt idx="7">
                  <c:v>Service City</c:v>
                </c:pt>
                <c:pt idx="8">
                  <c:v>UNHCR</c:v>
                </c:pt>
                <c:pt idx="9">
                  <c:v>WFP</c:v>
                </c:pt>
              </c:strCache>
            </c:strRef>
          </c:cat>
          <c:val>
            <c:numRef>
              <c:f>ShelterAgency!$C$8:$C$18</c:f>
              <c:numCache/>
            </c:numRef>
          </c:val>
        </c:ser>
        <c:ser>
          <c:idx val="2"/>
          <c:order val="2"/>
          <c:tx>
            <c:strRef>
              <c:f>ShelterAgency!$D$7</c:f>
              <c:strCache>
                <c:ptCount val="1"/>
                <c:pt idx="0">
                  <c:v>Permanent House Built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ShelterAgency!$A$8:$A$18</c:f>
              <c:strCache>
                <c:ptCount val="10"/>
                <c:pt idx="0">
                  <c:v>CARE</c:v>
                </c:pt>
                <c:pt idx="1">
                  <c:v>DRC</c:v>
                </c:pt>
                <c:pt idx="2">
                  <c:v>Government</c:v>
                </c:pt>
                <c:pt idx="3">
                  <c:v>IRW</c:v>
                </c:pt>
                <c:pt idx="4">
                  <c:v>MAUK</c:v>
                </c:pt>
                <c:pt idx="5">
                  <c:v>MRCS</c:v>
                </c:pt>
                <c:pt idx="6">
                  <c:v>MRF/ACT</c:v>
                </c:pt>
                <c:pt idx="7">
                  <c:v>Service City</c:v>
                </c:pt>
                <c:pt idx="8">
                  <c:v>UNHCR</c:v>
                </c:pt>
                <c:pt idx="9">
                  <c:v>WFP</c:v>
                </c:pt>
              </c:strCache>
            </c:strRef>
          </c:cat>
          <c:val>
            <c:numRef>
              <c:f>ShelterAgency!$D$8:$D$18</c:f>
              <c:numCache/>
            </c:numRef>
          </c:val>
        </c:ser>
        <c:ser>
          <c:idx val="3"/>
          <c:order val="3"/>
          <c:tx>
            <c:strRef>
              <c:f>ShelterAgency!$E$7</c:f>
              <c:strCache>
                <c:ptCount val="1"/>
                <c:pt idx="0">
                  <c:v>Permanent House Under Construction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ShelterAgency!$A$8:$A$18</c:f>
              <c:strCache>
                <c:ptCount val="10"/>
                <c:pt idx="0">
                  <c:v>CARE</c:v>
                </c:pt>
                <c:pt idx="1">
                  <c:v>DRC</c:v>
                </c:pt>
                <c:pt idx="2">
                  <c:v>Government</c:v>
                </c:pt>
                <c:pt idx="3">
                  <c:v>IRW</c:v>
                </c:pt>
                <c:pt idx="4">
                  <c:v>MAUK</c:v>
                </c:pt>
                <c:pt idx="5">
                  <c:v>MRCS</c:v>
                </c:pt>
                <c:pt idx="6">
                  <c:v>MRF/ACT</c:v>
                </c:pt>
                <c:pt idx="7">
                  <c:v>Service City</c:v>
                </c:pt>
                <c:pt idx="8">
                  <c:v>UNHCR</c:v>
                </c:pt>
                <c:pt idx="9">
                  <c:v>WFP</c:v>
                </c:pt>
              </c:strCache>
            </c:strRef>
          </c:cat>
          <c:val>
            <c:numRef>
              <c:f>ShelterAgency!$E$8:$E$18</c:f>
              <c:numCache/>
            </c:numRef>
          </c:val>
        </c:ser>
        <c:overlap val="100"/>
        <c:axId val="24101591"/>
        <c:axId val="15587728"/>
      </c:barChart>
      <c:catAx>
        <c:axId val="24101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587728"/>
        <c:crosses val="autoZero"/>
        <c:auto val="1"/>
        <c:lblOffset val="100"/>
        <c:noMultiLvlLbl val="0"/>
      </c:catAx>
      <c:valAx>
        <c:axId val="155877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101591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  <c:pivotFmts xmlns:c="http://schemas.openxmlformats.org/drawingml/2006/chart"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spPr>
          <a:solidFill xmlns:a="http://schemas.openxmlformats.org/drawingml/2006/main">
            <a:srgbClr val="FFFF00"/>
          </a:solidFill>
          <a:ln xmlns:a="http://schemas.openxmlformats.org/drawingml/2006/main">
            <a:solidFill>
              <a:srgbClr val="FFC000"/>
            </a:solidFill>
          </a:ln>
        </c:spPr>
        <c:marker>
          <c:symbol val="none"/>
        </c:marker>
      </c:pivotFmt>
      <c:pivotFmt>
        <c:idx val="9"/>
        <c:spPr>
          <a:solidFill xmlns:a="http://schemas.openxmlformats.org/drawingml/2006/main">
            <a:srgbClr val="FFC000"/>
          </a:solidFill>
        </c:spPr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spPr>
          <a:ln xmlns:a="http://schemas.openxmlformats.org/drawingml/2006/main">
            <a:solidFill>
              <a:schemeClr val="tx2">
                <a:lumMod val="60000"/>
                <a:lumOff val="40000"/>
              </a:schemeClr>
            </a:solidFill>
          </a:ln>
        </c:spPr>
        <c:marker>
          <c:symbol val="none"/>
        </c:marker>
      </c:pivotFmt>
    </c:pivotFmts>
  </c:chart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</c14:pivotOptions>
    </c:ext>
  </c:extLs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pivotSource>
    <c:name>[0]Shelter_Progress!PivotTable3</c:name>
  </c:pivotSource>
  <c:chart>
    <c:autoTitleDeleted val="1"/>
    <c:plotArea>
      <c:layout>
        <c:manualLayout>
          <c:layoutTarget val="inner"/>
          <c:xMode val="edge"/>
          <c:yMode val="edge"/>
          <c:x val="0.201"/>
          <c:y val="0.1135"/>
          <c:w val="0.75075"/>
          <c:h val="0.76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Shelter_Progress!$B$96</c:f>
              <c:strCache>
                <c:ptCount val="1"/>
                <c:pt idx="0">
                  <c:v>Sum of #ofTemporaryShelterBuilt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Shelter_Progress!$A$97:$A$107</c:f>
              <c:strCache>
                <c:ptCount val="10"/>
                <c:pt idx="0">
                  <c:v>CARE</c:v>
                </c:pt>
                <c:pt idx="1">
                  <c:v>DRC</c:v>
                </c:pt>
                <c:pt idx="2">
                  <c:v>Government</c:v>
                </c:pt>
                <c:pt idx="3">
                  <c:v>IRW</c:v>
                </c:pt>
                <c:pt idx="4">
                  <c:v>MAUK</c:v>
                </c:pt>
                <c:pt idx="5">
                  <c:v>MRCS</c:v>
                </c:pt>
                <c:pt idx="6">
                  <c:v>MRF/ACT</c:v>
                </c:pt>
                <c:pt idx="7">
                  <c:v>Service City</c:v>
                </c:pt>
                <c:pt idx="8">
                  <c:v>UNHCR</c:v>
                </c:pt>
                <c:pt idx="9">
                  <c:v>WFP</c:v>
                </c:pt>
              </c:strCache>
            </c:strRef>
          </c:cat>
          <c:val>
            <c:numRef>
              <c:f>Shelter_Progress!$B$97:$B$107</c:f>
              <c:numCache/>
            </c:numRef>
          </c:val>
        </c:ser>
        <c:ser>
          <c:idx val="1"/>
          <c:order val="1"/>
          <c:tx>
            <c:strRef>
              <c:f>Shelter_Progress!$C$96</c:f>
              <c:strCache>
                <c:ptCount val="1"/>
                <c:pt idx="0">
                  <c:v>Sum of #ofTemporaryShelterUnderConstruction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Shelter_Progress!$A$97:$A$107</c:f>
              <c:strCache>
                <c:ptCount val="10"/>
                <c:pt idx="0">
                  <c:v>CARE</c:v>
                </c:pt>
                <c:pt idx="1">
                  <c:v>DRC</c:v>
                </c:pt>
                <c:pt idx="2">
                  <c:v>Government</c:v>
                </c:pt>
                <c:pt idx="3">
                  <c:v>IRW</c:v>
                </c:pt>
                <c:pt idx="4">
                  <c:v>MAUK</c:v>
                </c:pt>
                <c:pt idx="5">
                  <c:v>MRCS</c:v>
                </c:pt>
                <c:pt idx="6">
                  <c:v>MRF/ACT</c:v>
                </c:pt>
                <c:pt idx="7">
                  <c:v>Service City</c:v>
                </c:pt>
                <c:pt idx="8">
                  <c:v>UNHCR</c:v>
                </c:pt>
                <c:pt idx="9">
                  <c:v>WFP</c:v>
                </c:pt>
              </c:strCache>
            </c:strRef>
          </c:cat>
          <c:val>
            <c:numRef>
              <c:f>Shelter_Progress!$C$97:$C$107</c:f>
              <c:numCache/>
            </c:numRef>
          </c:val>
        </c:ser>
        <c:gapWidth val="55"/>
        <c:axId val="6071825"/>
        <c:axId val="54646426"/>
      </c:barChart>
      <c:catAx>
        <c:axId val="60718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54646426"/>
        <c:crosses val="autoZero"/>
        <c:auto val="1"/>
        <c:lblOffset val="100"/>
        <c:noMultiLvlLbl val="0"/>
      </c:catAx>
      <c:valAx>
        <c:axId val="5464642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u="none" baseline="0">
                    <a:latin typeface="Franklin Gothic Book"/>
                    <a:ea typeface="Franklin Gothic Medium Cond"/>
                    <a:cs typeface="Franklin Gothic Medium Cond"/>
                  </a:rPr>
                  <a:t># of People (in 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chemeClr val="bg1">
                  <a:lumMod val="50000"/>
                  <a:alpha val="12000"/>
                </a:schemeClr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u="none" baseline="0">
                <a:latin typeface="Franklin Gothic Book"/>
                <a:ea typeface="Franklin Gothic Book"/>
                <a:cs typeface="Franklin Gothic Book"/>
              </a:defRPr>
            </a:pPr>
          </a:p>
        </c:txPr>
        <c:crossAx val="6071825"/>
        <c:crosses val="autoZero"/>
        <c:crossBetween val="between"/>
        <c:dispUnits>
          <c:builtInUnit val="thousands"/>
        </c:dispUnits>
      </c:valAx>
      <c:spPr>
        <a:noFill/>
        <a:ln>
          <a:noFill/>
        </a:ln>
      </c:spPr>
    </c:plotArea>
    <c:plotVisOnly val="1"/>
    <c:dispBlanksAs val="gap"/>
    <c:showDLblsOverMax val="0"/>
    <c:pivotFmts xmlns:c="http://schemas.openxmlformats.org/drawingml/2006/chart"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</c:chart>
  <c:spPr>
    <a:solidFill>
      <a:schemeClr val="bg1">
        <a:alpha val="50000"/>
      </a:schemeClr>
    </a:solidFill>
    <a:ln>
      <a:noFill/>
    </a:ln>
  </c:spPr>
  <c:txPr>
    <a:bodyPr vert="horz" rot="0"/>
    <a:lstStyle/>
    <a:p>
      <a:pPr>
        <a:defRPr lang="en-US" cap="none" sz="900" u="none" baseline="0">
          <a:latin typeface="Franklin Gothic Book"/>
          <a:ea typeface="Franklin Gothic Book"/>
          <a:cs typeface="Franklin Gothic Book"/>
        </a:defRPr>
      </a:pPr>
    </a:p>
  </c:txPr>
  <c:userShapes r:id="rId1"/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</c14:pivotOptions>
    </c:ext>
  </c:extLs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pivotSource>
    <c:name>[0]CampAnalysis!PivotTable7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Rakine State
# of IDPs /Township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CampAnalysis!$Q$9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CampAnalysis!$P$10:$P$20</c:f>
              <c:strCache>
                <c:ptCount val="10"/>
                <c:pt idx="0">
                  <c:v>Sittwe</c:v>
                </c:pt>
                <c:pt idx="1">
                  <c:v>Pauktaw</c:v>
                </c:pt>
                <c:pt idx="2">
                  <c:v>Kyauktaw</c:v>
                </c:pt>
                <c:pt idx="3">
                  <c:v>Minbya</c:v>
                </c:pt>
                <c:pt idx="4">
                  <c:v>Meybon</c:v>
                </c:pt>
                <c:pt idx="5">
                  <c:v>Mrauk_U</c:v>
                </c:pt>
                <c:pt idx="6">
                  <c:v>Rathedaung</c:v>
                </c:pt>
                <c:pt idx="7">
                  <c:v>Maungdaw</c:v>
                </c:pt>
                <c:pt idx="8">
                  <c:v>Kyauk_Phyu</c:v>
                </c:pt>
                <c:pt idx="9">
                  <c:v>Ramree</c:v>
                </c:pt>
              </c:strCache>
            </c:strRef>
          </c:cat>
          <c:val>
            <c:numRef>
              <c:f>CampAnalysis!$Q$10:$Q$20</c:f>
              <c:numCache>
                <c:formatCode>General</c:formatCode>
                <c:ptCount val="10"/>
                <c:pt idx="0">
                  <c:v>89880</c:v>
                </c:pt>
                <c:pt idx="1">
                  <c:v>19976</c:v>
                </c:pt>
                <c:pt idx="2">
                  <c:v>6418</c:v>
                </c:pt>
                <c:pt idx="3">
                  <c:v>5152</c:v>
                </c:pt>
                <c:pt idx="4">
                  <c:v>4169</c:v>
                </c:pt>
                <c:pt idx="5">
                  <c:v>4135</c:v>
                </c:pt>
                <c:pt idx="6">
                  <c:v>4008</c:v>
                </c:pt>
                <c:pt idx="7">
                  <c:v>3569</c:v>
                </c:pt>
                <c:pt idx="8">
                  <c:v>1849</c:v>
                </c:pt>
                <c:pt idx="9">
                  <c:v>260</c:v>
                </c:pt>
              </c:numCache>
            </c:numRef>
          </c:val>
        </c:ser>
        <c:axId val="52384837"/>
        <c:axId val="1701486"/>
      </c:barChart>
      <c:catAx>
        <c:axId val="523848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01486"/>
        <c:crosses val="autoZero"/>
        <c:auto val="1"/>
        <c:lblOffset val="100"/>
        <c:noMultiLvlLbl val="0"/>
      </c:catAx>
      <c:valAx>
        <c:axId val="17014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384837"/>
        <c:crosses val="autoZero"/>
        <c:crossBetween val="between"/>
        <c:dispUnits>
          <c:builtInUnit val="thousands"/>
        </c:dispUnits>
      </c:valAx>
    </c:plotArea>
    <c:plotVisOnly val="1"/>
    <c:dispBlanksAs val="gap"/>
    <c:showDLblsOverMax val="0"/>
    <c:pivotFmts xmlns:c="http://schemas.openxmlformats.org/drawingml/2006/chart">
      <c:pivotFmt>
        <c:idx val="0"/>
        <c:marker>
          <c:symbol val="none"/>
        </c:marker>
      </c:pivotFmt>
    </c:pivotFmts>
  </c:chart>
  <c:extLst xmlns:c="http://schemas.microsoft.com/office/drawing/2007/8/2/chart">
    <c:ext uri="{781A3756-C4B2-4CAC-9D66-4F8BD8637D16}">
      <c14:pivotOptions xmlns:c14="http://schemas.microsoft.com/office/drawing/2007/8/2/chart">
        <c14:dropZonesVisible val="1"/>
      </c14:pivotOptions>
    </c:ext>
  </c:extLs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Kashin_Shelter_D!$W$55</c:f>
              <c:strCache>
                <c:ptCount val="1"/>
                <c:pt idx="0">
                  <c:v># of People</c:v>
                </c:pt>
              </c:strCache>
            </c:strRef>
          </c:tx>
          <c:spPr>
            <a:ln w="12700">
              <a:solidFill>
                <a:schemeClr val="bg1"/>
              </a:solidFill>
            </a:ln>
            <a:effectLst>
              <a:outerShdw blurRad="63500" sx="102000" sy="102000" algn="ctr" rotWithShape="0">
                <a:prstClr val="black">
                  <a:alpha val="16000"/>
                </a:prstClr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>
                  <a:alpha val="45000"/>
                </a:srgbClr>
              </a:solidFill>
              <a:ln w="12700">
                <a:solidFill>
                  <a:schemeClr val="bg1"/>
                </a:solidFill>
              </a:ln>
              <a:effectLst>
                <a:outerShdw blurRad="63500" sx="102000" sy="102000" algn="ctr" rotWithShape="0">
                  <a:prstClr val="black">
                    <a:alpha val="16000"/>
                  </a:prstClr>
                </a:outerShdw>
              </a:effectLst>
            </c:spPr>
          </c:dPt>
          <c:dPt>
            <c:idx val="1"/>
            <c:spPr>
              <a:solidFill>
                <a:srgbClr val="C00000">
                  <a:alpha val="84000"/>
                </a:srgbClr>
              </a:solidFill>
              <a:ln w="12700">
                <a:solidFill>
                  <a:schemeClr val="bg1"/>
                </a:solidFill>
              </a:ln>
              <a:effectLst>
                <a:outerShdw blurRad="63500" sx="102000" sy="102000" algn="ctr" rotWithShape="0">
                  <a:prstClr val="black">
                    <a:alpha val="16000"/>
                  </a:prstClr>
                </a:outerShdw>
              </a:effectLst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u="none" baseline="0">
                    <a:solidFill>
                      <a:schemeClr val="tx1"/>
                    </a:solidFill>
                    <a:latin typeface="Franklin Gothic Medium Cond"/>
                    <a:ea typeface="Franklin Gothic Medium Cond"/>
                    <a:cs typeface="Franklin Gothic Medium Cond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Kashin_Shelter_D!$V$56:$V$57</c:f>
              <c:strCache/>
            </c:strRef>
          </c:cat>
          <c:val>
            <c:numRef>
              <c:f>Kashin_Shelter_D!$W$56:$W$57</c:f>
              <c:numCache/>
            </c:numRef>
          </c:val>
        </c:ser>
      </c:pieChart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bg1">
        <a:alpha val="50000"/>
      </a:schemeClr>
    </a:solidFill>
    <a:ln>
      <a:noFill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1"/>
    </mc:Choice>
    <mc:Fallback>
      <c:style val="2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25"/>
          <c:y val="0.2055"/>
          <c:w val="0.76175"/>
          <c:h val="0.5885"/>
        </c:manualLayout>
      </c:layout>
      <c:barChart>
        <c:barDir val="bar"/>
        <c:grouping val="stacked"/>
        <c:varyColors val="0"/>
        <c:ser>
          <c:idx val="10"/>
          <c:order val="0"/>
          <c:tx>
            <c:strRef>
              <c:f>Shelter_Progress!$L$21</c:f>
              <c:strCache>
                <c:ptCount val="1"/>
                <c:pt idx="0">
                  <c:v> Coverage (in Pop)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Shelter_Progress!$A$22:$A$40</c:f>
              <c:strCache/>
            </c:strRef>
          </c:cat>
          <c:val>
            <c:numRef>
              <c:f>Shelter_Progress!$L$22:$L$40</c:f>
              <c:numCache/>
            </c:numRef>
          </c:val>
        </c:ser>
        <c:overlap val="100"/>
        <c:gapWidth val="75"/>
        <c:axId val="22055787"/>
        <c:axId val="64284356"/>
      </c:barChart>
      <c:catAx>
        <c:axId val="2205578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64284356"/>
        <c:crosses val="autoZero"/>
        <c:auto val="1"/>
        <c:lblOffset val="100"/>
        <c:noMultiLvlLbl val="0"/>
      </c:catAx>
      <c:valAx>
        <c:axId val="64284356"/>
        <c:scaling>
          <c:orientation val="minMax"/>
          <c:min val="0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22055787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</c:legend>
    <c:plotVisOnly val="1"/>
    <c:dispBlanksAs val="gap"/>
    <c:showDLblsOverMax val="0"/>
    <c:pivotFmts xmlns:c="http://schemas.openxmlformats.org/drawingml/2006/chart">
      <c:pivotFmt>
        <c:idx val="0"/>
        <c:spPr>
          <a:solidFill xmlns:a="http://schemas.openxmlformats.org/drawingml/2006/main">
            <a:srgbClr val="FF0000">
              <a:alpha val="45000"/>
            </a:srgbClr>
          </a:solidFill>
        </c:spPr>
        <c:marker>
          <c:symbol val="none"/>
        </c:marker>
      </c:pivotFmt>
      <c:pivotFmt>
        <c:idx val="1"/>
        <c:spPr>
          <a:solidFill xmlns:a="http://schemas.openxmlformats.org/drawingml/2006/main">
            <a:srgbClr val="00B0F0">
              <a:alpha val="45000"/>
            </a:srgbClr>
          </a:solidFill>
        </c:spPr>
        <c:marker>
          <c:symbol val="none"/>
        </c:marker>
      </c:pivotFmt>
      <c:pivotFmt>
        <c:idx val="2"/>
        <c:spPr>
          <a:solidFill xmlns:a="http://schemas.openxmlformats.org/drawingml/2006/main">
            <a:srgbClr val="00B0F0">
              <a:alpha val="45000"/>
            </a:srgbClr>
          </a:solidFill>
          <a:ln xmlns:a="http://schemas.openxmlformats.org/drawingml/2006/main">
            <a:solidFill>
              <a:schemeClr val="tx1">
                <a:alpha val="20000"/>
              </a:schemeClr>
            </a:solidFill>
          </a:ln>
        </c:spPr>
        <c:marker>
          <c:symbol val="none"/>
        </c:marker>
      </c:pivotFmt>
      <c:pivotFmt>
        <c:idx val="3"/>
        <c:spPr>
          <a:solidFill xmlns:a="http://schemas.openxmlformats.org/drawingml/2006/main">
            <a:srgbClr val="FF0000">
              <a:alpha val="45000"/>
            </a:srgbClr>
          </a:solidFill>
          <a:ln xmlns:a="http://schemas.openxmlformats.org/drawingml/2006/main">
            <a:solidFill>
              <a:schemeClr val="tx1">
                <a:alpha val="20000"/>
              </a:schemeClr>
            </a:solidFill>
          </a:ln>
        </c:spPr>
        <c:marker>
          <c:symbol val="none"/>
        </c:marker>
      </c:pivotFmt>
    </c:pivotFmts>
  </c:chart>
  <c:spPr>
    <a:ln>
      <a:noFill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pivotSource>
    <c:name>[0]ShelterAgency!PivotTable3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# Shelters/Agency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ShelterAgency!$B$48</c:f>
              <c:strCache>
                <c:ptCount val="1"/>
                <c:pt idx="0">
                  <c:v>Temporary Shelter Built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ShelterAgency!$A$49:$A$51</c:f>
              <c:strCache>
                <c:ptCount val="2"/>
                <c:pt idx="0">
                  <c:v>DRC</c:v>
                </c:pt>
                <c:pt idx="1">
                  <c:v>UNHCR</c:v>
                </c:pt>
              </c:strCache>
            </c:strRef>
          </c:cat>
          <c:val>
            <c:numRef>
              <c:f>ShelterAgency!$B$49:$B$51</c:f>
              <c:numCache/>
            </c:numRef>
          </c:val>
        </c:ser>
        <c:ser>
          <c:idx val="1"/>
          <c:order val="1"/>
          <c:tx>
            <c:strRef>
              <c:f>ShelterAgency!$C$48</c:f>
              <c:strCache>
                <c:ptCount val="1"/>
                <c:pt idx="0">
                  <c:v>Temporary Shelter Under Construction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000"/>
              </a:solidFill>
            </c:spPr>
          </c:dPt>
          <c:dPt>
            <c:idx val="1"/>
            <c:invertIfNegative val="0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dPt>
          <c:dPt>
            <c:idx val="2"/>
            <c:invertIfNegative val="0"/>
            <c:spPr>
              <a:solidFill>
                <a:srgbClr val="FFC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ShelterAgency!$A$49:$A$51</c:f>
              <c:strCache>
                <c:ptCount val="2"/>
                <c:pt idx="0">
                  <c:v>DRC</c:v>
                </c:pt>
                <c:pt idx="1">
                  <c:v>UNHCR</c:v>
                </c:pt>
              </c:strCache>
            </c:strRef>
          </c:cat>
          <c:val>
            <c:numRef>
              <c:f>ShelterAgency!$C$49:$C$51</c:f>
              <c:numCache/>
            </c:numRef>
          </c:val>
        </c:ser>
        <c:ser>
          <c:idx val="2"/>
          <c:order val="2"/>
          <c:tx>
            <c:strRef>
              <c:f>ShelterAgency!$D$48</c:f>
              <c:strCache>
                <c:ptCount val="1"/>
                <c:pt idx="0">
                  <c:v>Permanent House Built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ShelterAgency!$A$49:$A$51</c:f>
              <c:strCache>
                <c:ptCount val="2"/>
                <c:pt idx="0">
                  <c:v>DRC</c:v>
                </c:pt>
                <c:pt idx="1">
                  <c:v>UNHCR</c:v>
                </c:pt>
              </c:strCache>
            </c:strRef>
          </c:cat>
          <c:val>
            <c:numRef>
              <c:f>ShelterAgency!$D$49:$D$51</c:f>
              <c:numCache/>
            </c:numRef>
          </c:val>
        </c:ser>
        <c:ser>
          <c:idx val="3"/>
          <c:order val="3"/>
          <c:tx>
            <c:strRef>
              <c:f>ShelterAgency!$E$48</c:f>
              <c:strCache>
                <c:ptCount val="1"/>
                <c:pt idx="0">
                  <c:v>Permanent House Under Construction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ShelterAgency!$A$49:$A$51</c:f>
              <c:strCache>
                <c:ptCount val="2"/>
                <c:pt idx="0">
                  <c:v>DRC</c:v>
                </c:pt>
                <c:pt idx="1">
                  <c:v>UNHCR</c:v>
                </c:pt>
              </c:strCache>
            </c:strRef>
          </c:cat>
          <c:val>
            <c:numRef>
              <c:f>ShelterAgency!$E$49:$E$51</c:f>
              <c:numCache/>
            </c:numRef>
          </c:val>
        </c:ser>
        <c:overlap val="100"/>
        <c:axId val="41688293"/>
        <c:axId val="39650318"/>
      </c:barChart>
      <c:catAx>
        <c:axId val="41688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650318"/>
        <c:crosses val="autoZero"/>
        <c:auto val="1"/>
        <c:lblOffset val="100"/>
        <c:noMultiLvlLbl val="0"/>
      </c:catAx>
      <c:valAx>
        <c:axId val="396503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88293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  <c:pivotFmts xmlns:c="http://schemas.openxmlformats.org/drawingml/2006/chart"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spPr>
          <a:solidFill xmlns:a="http://schemas.openxmlformats.org/drawingml/2006/main">
            <a:srgbClr val="FFFF00"/>
          </a:solidFill>
        </c:spPr>
        <c:marker>
          <c:symbol val="none"/>
        </c:marker>
      </c:pivotFmt>
      <c:pivotFmt>
        <c:idx val="9"/>
        <c:spPr>
          <a:solidFill xmlns:a="http://schemas.openxmlformats.org/drawingml/2006/main">
            <a:srgbClr val="FFC000"/>
          </a:solidFill>
        </c:spPr>
        <c:marker>
          <c:symbol val="none"/>
        </c:marker>
      </c:pivotFmt>
      <c:pivotFmt>
        <c:idx val="10"/>
        <c:spPr>
          <a:solidFill xmlns:a="http://schemas.openxmlformats.org/drawingml/2006/main">
            <a:srgbClr val="92D050"/>
          </a:solidFill>
          <a:ln xmlns:a="http://schemas.openxmlformats.org/drawingml/2006/main">
            <a:solidFill>
              <a:schemeClr val="tx2">
                <a:lumMod val="60000"/>
                <a:lumOff val="40000"/>
              </a:schemeClr>
            </a:solidFill>
          </a:ln>
        </c:spPr>
        <c:marker>
          <c:symbol val="none"/>
        </c:marker>
      </c:pivotFmt>
      <c:pivotFmt>
        <c:idx val="11"/>
        <c:spPr>
          <a:solidFill xmlns:a="http://schemas.openxmlformats.org/drawingml/2006/main">
            <a:schemeClr val="tx2">
              <a:lumMod val="60000"/>
              <a:lumOff val="40000"/>
            </a:schemeClr>
          </a:solidFill>
        </c:spPr>
        <c:marker>
          <c:symbol val="none"/>
        </c:marker>
      </c:pivotFmt>
      <c:pivotFmt>
        <c:idx val="12"/>
      </c:pivotFmt>
      <c:pivotFmt>
        <c:idx val="13"/>
        <c:spPr>
          <a:solidFill xmlns:a="http://schemas.openxmlformats.org/drawingml/2006/main">
            <a:srgbClr val="FFC000"/>
          </a:solidFill>
          <a:ln xmlns:a="http://schemas.openxmlformats.org/drawingml/2006/main">
            <a:solidFill>
              <a:srgbClr val="FFC000"/>
            </a:solidFill>
          </a:ln>
        </c:spPr>
      </c:pivotFmt>
    </c:pivotFmts>
  </c:chart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</c14:pivotOptions>
    </c:ext>
  </c:extLs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NFI Distribution in Rakhine State by Agency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analysis!$B$2</c:f>
              <c:strCache>
                <c:ptCount val="1"/>
                <c:pt idx="0">
                  <c:v>Hygiene Family Kit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analysis!$A$3:$A$6</c:f>
              <c:strCache/>
            </c:strRef>
          </c:cat>
          <c:val>
            <c:numRef>
              <c:f>analysis!$B$3:$B$6</c:f>
              <c:numCache/>
            </c:numRef>
          </c:val>
        </c:ser>
        <c:ser>
          <c:idx val="1"/>
          <c:order val="1"/>
          <c:tx>
            <c:strRef>
              <c:f>analysis!$C$2</c:f>
              <c:strCache>
                <c:ptCount val="1"/>
                <c:pt idx="0">
                  <c:v>NFI Core Kit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analysis!$A$3:$A$6</c:f>
              <c:strCache/>
            </c:strRef>
          </c:cat>
          <c:val>
            <c:numRef>
              <c:f>analysis!$C$3:$C$6</c:f>
              <c:numCache/>
            </c:numRef>
          </c:val>
        </c:ser>
        <c:ser>
          <c:idx val="2"/>
          <c:order val="2"/>
          <c:tx>
            <c:strRef>
              <c:f>analysis!$D$2</c:f>
              <c:strCache>
                <c:ptCount val="1"/>
                <c:pt idx="0">
                  <c:v>Women's Sanitary Kit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analysis!$A$3:$A$6</c:f>
              <c:strCache/>
            </c:strRef>
          </c:cat>
          <c:val>
            <c:numRef>
              <c:f>analysis!$D$3:$D$6</c:f>
              <c:numCache/>
            </c:numRef>
          </c:val>
        </c:ser>
        <c:ser>
          <c:idx val="3"/>
          <c:order val="3"/>
          <c:tx>
            <c:strRef>
              <c:f>analysis!$E$2</c:f>
              <c:strCache>
                <c:ptCount val="1"/>
                <c:pt idx="0">
                  <c:v>Mosquito Nets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analysis!$A$3:$A$6</c:f>
              <c:strCache/>
            </c:strRef>
          </c:cat>
          <c:val>
            <c:numRef>
              <c:f>analysis!$E$3:$E$6</c:f>
              <c:numCache/>
            </c:numRef>
          </c:val>
        </c:ser>
        <c:ser>
          <c:idx val="4"/>
          <c:order val="4"/>
          <c:tx>
            <c:strRef>
              <c:f>analysis!$F$2</c:f>
              <c:strCache>
                <c:ptCount val="1"/>
                <c:pt idx="0">
                  <c:v>Tarpaulins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analysis!$A$3:$A$6</c:f>
              <c:strCache/>
            </c:strRef>
          </c:cat>
          <c:val>
            <c:numRef>
              <c:f>analysis!$F$3:$F$6</c:f>
              <c:numCache/>
            </c:numRef>
          </c:val>
        </c:ser>
        <c:ser>
          <c:idx val="5"/>
          <c:order val="5"/>
          <c:tx>
            <c:strRef>
              <c:f>analysis!$H$2</c:f>
              <c:strCache>
                <c:ptCount val="1"/>
                <c:pt idx="0">
                  <c:v>Blanket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analysis!$A$3:$A$6</c:f>
              <c:strCache/>
            </c:strRef>
          </c:cat>
          <c:val>
            <c:numRef>
              <c:f>analysis!$H$3:$H$6</c:f>
              <c:numCache/>
            </c:numRef>
          </c:val>
        </c:ser>
        <c:ser>
          <c:idx val="6"/>
          <c:order val="6"/>
          <c:tx>
            <c:strRef>
              <c:f>analysis!$I$2</c:f>
              <c:strCache>
                <c:ptCount val="1"/>
                <c:pt idx="0">
                  <c:v>Kitchen Set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analysis!$A$3:$A$6</c:f>
              <c:strCache/>
            </c:strRef>
          </c:cat>
          <c:val>
            <c:numRef>
              <c:f>analysis!$I$3:$I$6</c:f>
              <c:numCache/>
            </c:numRef>
          </c:val>
        </c:ser>
        <c:ser>
          <c:idx val="7"/>
          <c:order val="7"/>
          <c:tx>
            <c:strRef>
              <c:f>analysis!$J$2</c:f>
              <c:strCache>
                <c:ptCount val="1"/>
                <c:pt idx="0">
                  <c:v>Complementary Kit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analysis!$A$3:$A$6</c:f>
              <c:strCache/>
            </c:strRef>
          </c:cat>
          <c:val>
            <c:numRef>
              <c:f>analysis!$J$3:$J$6</c:f>
              <c:numCache/>
            </c:numRef>
          </c:val>
        </c:ser>
        <c:axId val="21308543"/>
        <c:axId val="57559160"/>
      </c:barChart>
      <c:catAx>
        <c:axId val="2130854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7559160"/>
        <c:crosses val="autoZero"/>
        <c:auto val="1"/>
        <c:lblOffset val="100"/>
        <c:noMultiLvlLbl val="0"/>
      </c:catAx>
      <c:valAx>
        <c:axId val="5755916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21308543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NFI Distribution in Kachin State  by Agency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analysis!$M$2</c:f>
              <c:strCache>
                <c:ptCount val="1"/>
                <c:pt idx="0">
                  <c:v>Hygiene Family Kit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analysis!$L$3</c:f>
              <c:strCache/>
            </c:strRef>
          </c:cat>
          <c:val>
            <c:numRef>
              <c:f>analysis!$M$3</c:f>
              <c:numCache/>
            </c:numRef>
          </c:val>
        </c:ser>
        <c:ser>
          <c:idx val="1"/>
          <c:order val="1"/>
          <c:tx>
            <c:strRef>
              <c:f>analysis!$N$2</c:f>
              <c:strCache>
                <c:ptCount val="1"/>
                <c:pt idx="0">
                  <c:v>NFI Core Kit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analysis!$L$3</c:f>
              <c:strCache/>
            </c:strRef>
          </c:cat>
          <c:val>
            <c:numRef>
              <c:f>analysis!$N$3</c:f>
              <c:numCache/>
            </c:numRef>
          </c:val>
        </c:ser>
        <c:ser>
          <c:idx val="2"/>
          <c:order val="2"/>
          <c:tx>
            <c:strRef>
              <c:f>analysis!$O$2</c:f>
              <c:strCache>
                <c:ptCount val="1"/>
                <c:pt idx="0">
                  <c:v>Women's Sanitary Kit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analysis!$L$3</c:f>
              <c:strCache/>
            </c:strRef>
          </c:cat>
          <c:val>
            <c:numRef>
              <c:f>analysis!$O$3</c:f>
              <c:numCache/>
            </c:numRef>
          </c:val>
        </c:ser>
        <c:ser>
          <c:idx val="3"/>
          <c:order val="3"/>
          <c:tx>
            <c:strRef>
              <c:f>analysis!$P$2</c:f>
              <c:strCache>
                <c:ptCount val="1"/>
                <c:pt idx="0">
                  <c:v>Mosquito Net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analysis!$L$3</c:f>
              <c:strCache/>
            </c:strRef>
          </c:cat>
          <c:val>
            <c:numRef>
              <c:f>analysis!$P$3</c:f>
              <c:numCache/>
            </c:numRef>
          </c:val>
        </c:ser>
        <c:ser>
          <c:idx val="4"/>
          <c:order val="4"/>
          <c:tx>
            <c:strRef>
              <c:f>analysis!$Q$2</c:f>
              <c:strCache>
                <c:ptCount val="1"/>
                <c:pt idx="0">
                  <c:v>Tarpaulin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analysis!$L$3</c:f>
              <c:strCache/>
            </c:strRef>
          </c:cat>
          <c:val>
            <c:numRef>
              <c:f>analysis!$Q$3</c:f>
              <c:numCache/>
            </c:numRef>
          </c:val>
        </c:ser>
        <c:ser>
          <c:idx val="5"/>
          <c:order val="5"/>
          <c:tx>
            <c:strRef>
              <c:f>analysis!$R$2</c:f>
              <c:strCache>
                <c:ptCount val="1"/>
                <c:pt idx="0">
                  <c:v>Blanket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analysis!$L$3</c:f>
              <c:strCache/>
            </c:strRef>
          </c:cat>
          <c:val>
            <c:numRef>
              <c:f>analysis!$R$3</c:f>
              <c:numCache/>
            </c:numRef>
          </c:val>
        </c:ser>
        <c:ser>
          <c:idx val="6"/>
          <c:order val="6"/>
          <c:tx>
            <c:strRef>
              <c:f>analysis!$S$2</c:f>
              <c:strCache>
                <c:ptCount val="1"/>
                <c:pt idx="0">
                  <c:v>Kitchen Set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analysis!$L$3</c:f>
              <c:strCache/>
            </c:strRef>
          </c:cat>
          <c:val>
            <c:numRef>
              <c:f>analysis!$S$3</c:f>
              <c:numCache/>
            </c:numRef>
          </c:val>
        </c:ser>
        <c:ser>
          <c:idx val="7"/>
          <c:order val="7"/>
          <c:tx>
            <c:strRef>
              <c:f>analysis!$T$2</c:f>
              <c:strCache>
                <c:ptCount val="1"/>
                <c:pt idx="0">
                  <c:v>Complementary Kit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analysis!$L$3</c:f>
              <c:strCache/>
            </c:strRef>
          </c:cat>
          <c:val>
            <c:numRef>
              <c:f>analysis!$T$3</c:f>
              <c:numCache/>
            </c:numRef>
          </c:val>
        </c:ser>
        <c:axId val="48270393"/>
        <c:axId val="31780354"/>
      </c:barChart>
      <c:catAx>
        <c:axId val="4827039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31780354"/>
        <c:crosses val="autoZero"/>
        <c:auto val="1"/>
        <c:lblOffset val="100"/>
        <c:noMultiLvlLbl val="0"/>
      </c:catAx>
      <c:valAx>
        <c:axId val="3178035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48270393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1"/>
    </mc:Choice>
    <mc:Fallback>
      <c:style val="1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NFISummary!$F$5</c:f>
              <c:strCache>
                <c:ptCount val="1"/>
                <c:pt idx="0">
                  <c:v>Distributed</c:v>
                </c:pt>
              </c:strCache>
            </c:strRef>
          </c:tx>
          <c:spPr>
            <a:solidFill>
              <a:srgbClr val="25FF88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NFISummary!$B$6:$B$8</c:f>
              <c:strCache/>
            </c:strRef>
          </c:cat>
          <c:val>
            <c:numRef>
              <c:f>NFISummary!$F$6:$F$8</c:f>
              <c:numCache/>
            </c:numRef>
          </c:val>
        </c:ser>
        <c:ser>
          <c:idx val="3"/>
          <c:order val="1"/>
          <c:tx>
            <c:strRef>
              <c:f>NFISummary!$H$5</c:f>
              <c:strCache>
                <c:ptCount val="1"/>
                <c:pt idx="0">
                  <c:v>In Stock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NFISummary!$B$6:$B$8</c:f>
              <c:strCache/>
            </c:strRef>
          </c:cat>
          <c:val>
            <c:numRef>
              <c:f>NFISummary!$H$6:$H$8</c:f>
              <c:numCache/>
            </c:numRef>
          </c:val>
        </c:ser>
        <c:ser>
          <c:idx val="0"/>
          <c:order val="2"/>
          <c:tx>
            <c:strRef>
              <c:f>NFISummary!$L$5</c:f>
              <c:strCache>
                <c:ptCount val="1"/>
                <c:pt idx="0">
                  <c:v>Pipeline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NFISummary!$B$6:$B$8</c:f>
              <c:strCache/>
            </c:strRef>
          </c:cat>
          <c:val>
            <c:numRef>
              <c:f>NFISummary!$L$6:$L$8</c:f>
              <c:numCache/>
            </c:numRef>
          </c:val>
        </c:ser>
        <c:ser>
          <c:idx val="8"/>
          <c:order val="3"/>
          <c:tx>
            <c:strRef>
              <c:f>NFISummary!$N$5</c:f>
              <c:strCache>
                <c:ptCount val="1"/>
                <c:pt idx="0">
                  <c:v>Remaining Need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NFISummary!$B$6:$B$8</c:f>
              <c:strCache/>
            </c:strRef>
          </c:cat>
          <c:val>
            <c:numRef>
              <c:f>NFISummary!$N$6:$N$8</c:f>
              <c:numCache/>
            </c:numRef>
          </c:val>
        </c:ser>
        <c:overlap val="100"/>
        <c:gapWidth val="95"/>
        <c:axId val="17587731"/>
        <c:axId val="24071852"/>
      </c:barChart>
      <c:catAx>
        <c:axId val="175877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071852"/>
        <c:crosses val="autoZero"/>
        <c:auto val="1"/>
        <c:lblOffset val="100"/>
        <c:tickLblSkip val="1"/>
        <c:noMultiLvlLbl val="0"/>
      </c:catAx>
      <c:valAx>
        <c:axId val="24071852"/>
        <c:scaling>
          <c:orientation val="minMax"/>
          <c:max val="1"/>
        </c:scaling>
        <c:axPos val="l"/>
        <c:majorGridlines>
          <c:spPr>
            <a:ln>
              <a:solidFill>
                <a:schemeClr val="accent1"/>
              </a:solidFill>
            </a:ln>
          </c:spPr>
        </c:majorGridlines>
        <c:delete val="0"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587731"/>
        <c:crosses val="autoZero"/>
        <c:crossBetween val="between"/>
        <c:dispUnits/>
        <c:majorUnit val="0.2"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0.75000000000000011" l="0.70000000000000007" r="0.70000000000000007" t="0.75000000000000011" header="0.30000000000000004" footer="0.30000000000000004"/>
    <c:pageSetup paperSize="132" orientation="landscape" horizontalDpi="300" verticalDpi="300"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5"/>
          <c:y val="0.0475"/>
          <c:w val="0.72325"/>
          <c:h val="0.62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NFISummary!$F$11</c:f>
              <c:strCache>
                <c:ptCount val="1"/>
                <c:pt idx="0">
                  <c:v>Distributed</c:v>
                </c:pt>
              </c:strCache>
            </c:strRef>
          </c:tx>
          <c:spPr>
            <a:solidFill>
              <a:srgbClr val="25FF88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NFISummary!$B$12:$B$16</c:f>
              <c:strCache/>
            </c:strRef>
          </c:cat>
          <c:val>
            <c:numRef>
              <c:f>NFISummary!$F$12:$F$16</c:f>
              <c:numCache/>
            </c:numRef>
          </c:val>
        </c:ser>
        <c:ser>
          <c:idx val="3"/>
          <c:order val="1"/>
          <c:tx>
            <c:strRef>
              <c:f>NFISummary!$H$11</c:f>
              <c:strCache>
                <c:ptCount val="1"/>
                <c:pt idx="0">
                  <c:v>In Stock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NFISummary!$B$12:$B$16</c:f>
              <c:strCache/>
            </c:strRef>
          </c:cat>
          <c:val>
            <c:numRef>
              <c:f>NFISummary!$H$12:$H$16</c:f>
              <c:numCache/>
            </c:numRef>
          </c:val>
        </c:ser>
        <c:ser>
          <c:idx val="0"/>
          <c:order val="2"/>
          <c:tx>
            <c:strRef>
              <c:f>NFISummary!$L$11</c:f>
              <c:strCache>
                <c:ptCount val="1"/>
                <c:pt idx="0">
                  <c:v>Pipeline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NFISummary!$B$12:$B$16</c:f>
              <c:strCache/>
            </c:strRef>
          </c:cat>
          <c:val>
            <c:numRef>
              <c:f>NFISummary!$L$12:$L$16</c:f>
              <c:numCache/>
            </c:numRef>
          </c:val>
        </c:ser>
        <c:ser>
          <c:idx val="8"/>
          <c:order val="3"/>
          <c:tx>
            <c:strRef>
              <c:f>NFISummary!$N$11</c:f>
              <c:strCache>
                <c:ptCount val="1"/>
                <c:pt idx="0">
                  <c:v>Remaining Need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NFISummary!$B$12:$B$16</c:f>
              <c:strCache/>
            </c:strRef>
          </c:cat>
          <c:val>
            <c:numRef>
              <c:f>NFISummary!$N$12:$N$16</c:f>
              <c:numCache/>
            </c:numRef>
          </c:val>
        </c:ser>
        <c:overlap val="100"/>
        <c:axId val="15320077"/>
        <c:axId val="3662966"/>
      </c:barChart>
      <c:catAx>
        <c:axId val="15320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62966"/>
        <c:crosses val="autoZero"/>
        <c:auto val="1"/>
        <c:lblOffset val="100"/>
        <c:noMultiLvlLbl val="0"/>
      </c:catAx>
      <c:valAx>
        <c:axId val="3662966"/>
        <c:scaling>
          <c:orientation val="minMax"/>
          <c:max val="1"/>
        </c:scaling>
        <c:axPos val="l"/>
        <c:majorGridlines>
          <c:spPr>
            <a:ln>
              <a:solidFill>
                <a:schemeClr val="accent1"/>
              </a:solidFill>
            </a:ln>
          </c:spPr>
        </c:majorGridlines>
        <c:delete val="0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320077"/>
        <c:crosses val="autoZero"/>
        <c:crossBetween val="between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0.75000000000000011" l="0.70000000000000007" r="0.70000000000000007" t="0.75000000000000011" header="0.30000000000000004" footer="0.30000000000000004"/>
    <c:pageSetup paperSize="132" orientation="landscape" horizontalDpi="300" verticalDpi="300"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5"/>
          <c:y val="0.0475"/>
          <c:w val="0.72325"/>
          <c:h val="0.62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NFISummary!$F$44</c:f>
              <c:strCache>
                <c:ptCount val="1"/>
                <c:pt idx="0">
                  <c:v>Distributed</c:v>
                </c:pt>
              </c:strCache>
            </c:strRef>
          </c:tx>
          <c:spPr>
            <a:solidFill>
              <a:srgbClr val="25FF88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NFISummary!$B$45:$B$49</c:f>
              <c:strCache/>
            </c:strRef>
          </c:cat>
          <c:val>
            <c:numRef>
              <c:f>NFISummary!$F$45:$F$49</c:f>
              <c:numCache/>
            </c:numRef>
          </c:val>
        </c:ser>
        <c:ser>
          <c:idx val="3"/>
          <c:order val="1"/>
          <c:tx>
            <c:strRef>
              <c:f>NFISummary!$H$44</c:f>
              <c:strCache>
                <c:ptCount val="1"/>
                <c:pt idx="0">
                  <c:v>In Stock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NFISummary!$B$45:$B$49</c:f>
              <c:strCache/>
            </c:strRef>
          </c:cat>
          <c:val>
            <c:numRef>
              <c:f>NFISummary!$H$45:$H$49</c:f>
              <c:numCache/>
            </c:numRef>
          </c:val>
        </c:ser>
        <c:ser>
          <c:idx val="0"/>
          <c:order val="2"/>
          <c:tx>
            <c:strRef>
              <c:f>NFISummary!$L$44</c:f>
              <c:strCache>
                <c:ptCount val="1"/>
                <c:pt idx="0">
                  <c:v>Pipeline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NFISummary!$B$45:$B$49</c:f>
              <c:strCache/>
            </c:strRef>
          </c:cat>
          <c:val>
            <c:numRef>
              <c:f>NFISummary!$L$45:$L$49</c:f>
              <c:numCache/>
            </c:numRef>
          </c:val>
        </c:ser>
        <c:ser>
          <c:idx val="8"/>
          <c:order val="3"/>
          <c:tx>
            <c:strRef>
              <c:f>NFISummary!$N$44</c:f>
              <c:strCache>
                <c:ptCount val="1"/>
                <c:pt idx="0">
                  <c:v>Remaining Need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NFISummary!$B$45:$B$49</c:f>
              <c:strCache/>
            </c:strRef>
          </c:cat>
          <c:val>
            <c:numRef>
              <c:f>NFISummary!$N$45:$N$49</c:f>
              <c:numCache/>
            </c:numRef>
          </c:val>
        </c:ser>
        <c:overlap val="100"/>
        <c:axId val="32966695"/>
        <c:axId val="28264800"/>
      </c:barChart>
      <c:catAx>
        <c:axId val="3296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264800"/>
        <c:crosses val="autoZero"/>
        <c:auto val="1"/>
        <c:lblOffset val="100"/>
        <c:noMultiLvlLbl val="0"/>
      </c:catAx>
      <c:valAx>
        <c:axId val="28264800"/>
        <c:scaling>
          <c:orientation val="minMax"/>
          <c:max val="1"/>
        </c:scaling>
        <c:axPos val="l"/>
        <c:majorGridlines>
          <c:spPr>
            <a:ln>
              <a:solidFill>
                <a:schemeClr val="accent1"/>
              </a:solidFill>
            </a:ln>
          </c:spPr>
        </c:majorGridlines>
        <c:delete val="0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966695"/>
        <c:crosses val="autoZero"/>
        <c:crossBetween val="between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0.75000000000000011" l="0.70000000000000007" r="0.70000000000000007" t="0.75000000000000011" header="0.30000000000000004" footer="0.30000000000000004"/>
    <c:pageSetup paperSize="132" orientation="landscape" horizontalDpi="300" verticalDpi="300"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1"/>
    </mc:Choice>
    <mc:Fallback>
      <c:style val="1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NFISummary!$F$38</c:f>
              <c:strCache>
                <c:ptCount val="1"/>
                <c:pt idx="0">
                  <c:v>Distributed</c:v>
                </c:pt>
              </c:strCache>
            </c:strRef>
          </c:tx>
          <c:spPr>
            <a:solidFill>
              <a:srgbClr val="25FF88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NFISummary!$B$6:$B$8</c:f>
              <c:strCache/>
            </c:strRef>
          </c:cat>
          <c:val>
            <c:numRef>
              <c:f>NFISummary!$F$39:$F$41</c:f>
              <c:numCache/>
            </c:numRef>
          </c:val>
        </c:ser>
        <c:ser>
          <c:idx val="3"/>
          <c:order val="1"/>
          <c:tx>
            <c:strRef>
              <c:f>NFISummary!$H$38</c:f>
              <c:strCache>
                <c:ptCount val="1"/>
                <c:pt idx="0">
                  <c:v>In Stock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NFISummary!$B$6:$B$8</c:f>
              <c:strCache/>
            </c:strRef>
          </c:cat>
          <c:val>
            <c:numRef>
              <c:f>NFISummary!$H$39:$H$41</c:f>
              <c:numCache/>
            </c:numRef>
          </c:val>
        </c:ser>
        <c:ser>
          <c:idx val="0"/>
          <c:order val="2"/>
          <c:tx>
            <c:strRef>
              <c:f>NFISummary!$L$38</c:f>
              <c:strCache>
                <c:ptCount val="1"/>
                <c:pt idx="0">
                  <c:v>Pipeline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NFISummary!$B$6:$B$8</c:f>
              <c:strCache/>
            </c:strRef>
          </c:cat>
          <c:val>
            <c:numRef>
              <c:f>NFISummary!$L$39:$L$41</c:f>
              <c:numCache/>
            </c:numRef>
          </c:val>
        </c:ser>
        <c:ser>
          <c:idx val="8"/>
          <c:order val="3"/>
          <c:tx>
            <c:strRef>
              <c:f>NFISummary!$N$38</c:f>
              <c:strCache>
                <c:ptCount val="1"/>
                <c:pt idx="0">
                  <c:v>Remaining Need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NFISummary!$B$6:$B$8</c:f>
              <c:strCache/>
            </c:strRef>
          </c:cat>
          <c:val>
            <c:numRef>
              <c:f>NFISummary!$N$39:$N$41</c:f>
              <c:numCache/>
            </c:numRef>
          </c:val>
        </c:ser>
        <c:overlap val="100"/>
        <c:gapWidth val="95"/>
        <c:axId val="53056609"/>
        <c:axId val="7747434"/>
      </c:barChart>
      <c:catAx>
        <c:axId val="530566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747434"/>
        <c:crosses val="autoZero"/>
        <c:auto val="1"/>
        <c:lblOffset val="100"/>
        <c:tickLblSkip val="1"/>
        <c:noMultiLvlLbl val="0"/>
      </c:catAx>
      <c:valAx>
        <c:axId val="7747434"/>
        <c:scaling>
          <c:orientation val="minMax"/>
          <c:max val="1"/>
        </c:scaling>
        <c:axPos val="l"/>
        <c:majorGridlines>
          <c:spPr>
            <a:ln>
              <a:solidFill>
                <a:schemeClr val="accent1"/>
              </a:solidFill>
            </a:ln>
          </c:spPr>
        </c:majorGridlines>
        <c:delete val="0"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056609"/>
        <c:crosses val="autoZero"/>
        <c:crossBetween val="between"/>
        <c:dispUnits/>
        <c:majorUnit val="0.2"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0.75000000000000011" l="0.70000000000000007" r="0.70000000000000007" t="0.75000000000000011" header="0.30000000000000004" footer="0.30000000000000004"/>
    <c:pageSetup paperSize="132" orientation="landscape" horizontalDpi="300" verticalDpi="3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1"/>
          <c:y val="0.1135"/>
          <c:w val="0.6455"/>
          <c:h val="0.76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Rakhine_CCCM_D!$X$8</c:f>
              <c:strCache>
                <c:ptCount val="1"/>
                <c:pt idx="0">
                  <c:v>Total # of Camp</c:v>
                </c:pt>
              </c:strCache>
            </c:strRef>
          </c:tx>
          <c:spPr>
            <a:solidFill>
              <a:srgbClr val="FFC000"/>
            </a:solidFill>
            <a:effectLst>
              <a:outerShdw blurRad="38100" dist="127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Rakhine_CCCM_D!$U$9:$U$18</c:f>
              <c:strCache/>
            </c:strRef>
          </c:cat>
          <c:val>
            <c:numRef>
              <c:f>Rakhine_CCCM_D!$X$9:$X$18</c:f>
              <c:numCache/>
            </c:numRef>
          </c:val>
        </c:ser>
        <c:gapWidth val="55"/>
        <c:axId val="15313375"/>
        <c:axId val="3602648"/>
      </c:barChart>
      <c:catAx>
        <c:axId val="153133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3602648"/>
        <c:crosses val="autoZero"/>
        <c:auto val="1"/>
        <c:lblOffset val="100"/>
        <c:noMultiLvlLbl val="0"/>
      </c:catAx>
      <c:valAx>
        <c:axId val="360264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u="none" baseline="0">
                    <a:latin typeface="Franklin Gothic Book"/>
                    <a:ea typeface="Franklin Gothic Medium Cond"/>
                    <a:cs typeface="Franklin Gothic Medium Cond"/>
                  </a:rPr>
                  <a:t># of Camps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chemeClr val="bg1">
                  <a:lumMod val="50000"/>
                  <a:alpha val="12000"/>
                </a:schemeClr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u="none" baseline="0">
                <a:latin typeface="Franklin Gothic Book"/>
                <a:ea typeface="Franklin Gothic Book"/>
                <a:cs typeface="Franklin Gothic Book"/>
              </a:defRPr>
            </a:pPr>
          </a:p>
        </c:txPr>
        <c:crossAx val="1531337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>
        <a:alpha val="50000"/>
      </a:schemeClr>
    </a:solidFill>
    <a:ln>
      <a:noFill/>
    </a:ln>
  </c:spPr>
  <c:txPr>
    <a:bodyPr vert="horz" rot="0"/>
    <a:lstStyle/>
    <a:p>
      <a:pPr>
        <a:defRPr lang="en-US" cap="none" sz="900" u="none" baseline="0">
          <a:latin typeface="Franklin Gothic Book"/>
          <a:ea typeface="Franklin Gothic Book"/>
          <a:cs typeface="Franklin Gothic Book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"/>
          <c:y val="0.12375"/>
          <c:w val="0.339"/>
          <c:h val="0.8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</c:dPt>
          <c:dPt>
            <c:idx val="1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2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spPr>
              <a:solidFill>
                <a:schemeClr val="accent6">
                  <a:lumMod val="5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Rakhine_CCCM_D!$V$34:$Y$34</c:f>
              <c:strCache/>
            </c:strRef>
          </c:cat>
          <c:val>
            <c:numRef>
              <c:f>Rakhine_CCCM_D!$V$46:$Y$46</c:f>
              <c:numCache/>
            </c:numRef>
          </c:val>
        </c:ser>
      </c:pieChart>
      <c:spPr>
        <a:noFill/>
      </c:spPr>
    </c:plotArea>
    <c:legend>
      <c:legendPos val="t"/>
      <c:layout>
        <c:manualLayout>
          <c:xMode val="edge"/>
          <c:yMode val="edge"/>
          <c:x val="0.54225"/>
          <c:y val="0.352"/>
          <c:w val="0.41975"/>
          <c:h val="0.35125"/>
        </c:manualLayout>
      </c:layout>
      <c:overlay val="0"/>
    </c:legend>
    <c:plotVisOnly val="1"/>
    <c:dispBlanksAs val="gap"/>
    <c:showDLblsOverMax val="0"/>
  </c:chart>
  <c:spPr>
    <a:solidFill>
      <a:schemeClr val="bg1">
        <a:alpha val="50000"/>
      </a:schemeClr>
    </a:solidFill>
    <a:ln>
      <a:noFill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75"/>
          <c:y val="0.23825"/>
          <c:w val="0.908"/>
          <c:h val="0.6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Rakhine_CCCM_D!$V$21</c:f>
              <c:strCache>
                <c:ptCount val="1"/>
                <c:pt idx="0">
                  <c:v>1-1,000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>
                  <a:alpha val="10000"/>
                </a:schemeClr>
              </a:solidFill>
            </a:ln>
            <a:effectLst>
              <a:outerShdw blurRad="38100" dist="12700" dir="2700000" algn="ctr" rotWithShape="0">
                <a:schemeClr val="tx1">
                  <a:alpha val="40000"/>
                </a:scheme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Rakhine_CCCM_D!$U$22:$U$31</c:f>
              <c:strCache/>
            </c:strRef>
          </c:cat>
          <c:val>
            <c:numRef>
              <c:f>Rakhine_CCCM_D!$V$22:$V$31</c:f>
              <c:numCache/>
            </c:numRef>
          </c:val>
        </c:ser>
        <c:ser>
          <c:idx val="0"/>
          <c:order val="1"/>
          <c:tx>
            <c:strRef>
              <c:f>Rakhine_CCCM_D!$W$21</c:f>
              <c:strCache>
                <c:ptCount val="1"/>
                <c:pt idx="0">
                  <c:v>1,001-5,000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>
                  <a:alpha val="20000"/>
                </a:schemeClr>
              </a:solidFill>
            </a:ln>
            <a:effectLst>
              <a:outerShdw blurRad="38100" dist="127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Rakhine_CCCM_D!$U$22:$U$31</c:f>
              <c:strCache/>
            </c:strRef>
          </c:cat>
          <c:val>
            <c:numRef>
              <c:f>Rakhine_CCCM_D!$W$22:$W$31</c:f>
              <c:numCache/>
            </c:numRef>
          </c:val>
        </c:ser>
        <c:ser>
          <c:idx val="2"/>
          <c:order val="2"/>
          <c:tx>
            <c:strRef>
              <c:f>Rakhine_CCCM_D!$X$21</c:f>
              <c:strCache>
                <c:ptCount val="1"/>
                <c:pt idx="0">
                  <c:v>5,001-10,000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Rakhine_CCCM_D!$U$22:$U$31</c:f>
              <c:strCache/>
            </c:strRef>
          </c:cat>
          <c:val>
            <c:numRef>
              <c:f>Rakhine_CCCM_D!$X$22:$X$31</c:f>
              <c:numCache/>
            </c:numRef>
          </c:val>
        </c:ser>
        <c:ser>
          <c:idx val="3"/>
          <c:order val="3"/>
          <c:tx>
            <c:strRef>
              <c:f>Rakhine_CCCM_D!$Y$21</c:f>
              <c:strCache>
                <c:ptCount val="1"/>
                <c:pt idx="0">
                  <c:v>Over 10,000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Rakhine_CCCM_D!$U$22:$U$31</c:f>
              <c:strCache/>
            </c:strRef>
          </c:cat>
          <c:val>
            <c:numRef>
              <c:f>Rakhine_CCCM_D!$Y$22:$Y$31</c:f>
              <c:numCache/>
            </c:numRef>
          </c:val>
        </c:ser>
        <c:gapWidth val="13"/>
        <c:axId val="32423833"/>
        <c:axId val="23379042"/>
      </c:barChart>
      <c:catAx>
        <c:axId val="32423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379042"/>
        <c:crosses val="autoZero"/>
        <c:auto val="1"/>
        <c:lblOffset val="100"/>
        <c:noMultiLvlLbl val="0"/>
      </c:catAx>
      <c:valAx>
        <c:axId val="23379042"/>
        <c:scaling>
          <c:orientation val="minMax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crossAx val="3242383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2175"/>
          <c:y val="0.103"/>
          <c:w val="0.942"/>
          <c:h val="0.055"/>
        </c:manualLayout>
      </c:layout>
      <c:overlay val="0"/>
    </c:legend>
    <c:plotVisOnly val="1"/>
    <c:dispBlanksAs val="gap"/>
    <c:showDLblsOverMax val="0"/>
  </c:chart>
  <c:spPr>
    <a:solidFill>
      <a:schemeClr val="bg1">
        <a:alpha val="50000"/>
      </a:schemeClr>
    </a:solidFill>
    <a:ln>
      <a:noFill/>
    </a:ln>
  </c:spPr>
  <c:txPr>
    <a:bodyPr vert="horz" rot="0"/>
    <a:lstStyle/>
    <a:p>
      <a:pPr>
        <a:defRPr lang="en-US" cap="none" sz="900" u="none" baseline="0">
          <a:latin typeface="Franklin Gothic Book"/>
          <a:ea typeface="Franklin Gothic Book"/>
          <a:cs typeface="Franklin Gothic Book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1"/>
          <c:y val="0.1135"/>
          <c:w val="0.6455"/>
          <c:h val="0.76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Rakhine_CCCM_D!$W$8</c:f>
              <c:strCache>
                <c:ptCount val="1"/>
                <c:pt idx="0">
                  <c:v>Total # of Population</c:v>
                </c:pt>
              </c:strCache>
            </c:strRef>
          </c:tx>
          <c:spPr>
            <a:solidFill>
              <a:schemeClr val="accent6">
                <a:lumMod val="50000"/>
                <a:alpha val="12000"/>
              </a:schemeClr>
            </a:solidFill>
            <a:effectLst>
              <a:outerShdw blurRad="38100" dist="127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Rakhine_CCCM_D!$U$9:$U$18</c:f>
              <c:strCache/>
            </c:strRef>
          </c:cat>
          <c:val>
            <c:numRef>
              <c:f>Rakhine_CCCM_D!$W$9:$W$18</c:f>
              <c:numCache/>
            </c:numRef>
          </c:val>
        </c:ser>
        <c:gapWidth val="55"/>
        <c:axId val="9084787"/>
        <c:axId val="14654220"/>
      </c:barChart>
      <c:catAx>
        <c:axId val="90847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4654220"/>
        <c:crosses val="autoZero"/>
        <c:auto val="1"/>
        <c:lblOffset val="100"/>
        <c:noMultiLvlLbl val="0"/>
      </c:catAx>
      <c:valAx>
        <c:axId val="1465422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u="none" baseline="0">
                    <a:latin typeface="Franklin Gothic Book"/>
                    <a:ea typeface="Franklin Gothic Medium Cond"/>
                    <a:cs typeface="Franklin Gothic Medium Cond"/>
                  </a:rPr>
                  <a:t># of Camps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chemeClr val="bg1">
                  <a:lumMod val="50000"/>
                  <a:alpha val="12000"/>
                </a:schemeClr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u="none" baseline="0">
                <a:latin typeface="Franklin Gothic Book"/>
                <a:ea typeface="Franklin Gothic Book"/>
                <a:cs typeface="Franklin Gothic Book"/>
              </a:defRPr>
            </a:pPr>
          </a:p>
        </c:txPr>
        <c:crossAx val="908478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>
        <a:alpha val="50000"/>
      </a:schemeClr>
    </a:solidFill>
    <a:ln>
      <a:noFill/>
    </a:ln>
  </c:spPr>
  <c:txPr>
    <a:bodyPr vert="horz" rot="0"/>
    <a:lstStyle/>
    <a:p>
      <a:pPr>
        <a:defRPr lang="en-US" cap="none" sz="900" u="none" baseline="0">
          <a:latin typeface="Franklin Gothic Book"/>
          <a:ea typeface="Franklin Gothic Book"/>
          <a:cs typeface="Franklin Gothic Book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275"/>
          <c:y val="0.1135"/>
          <c:w val="0.86825"/>
          <c:h val="0.6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Kachin_CCCM_D!$X$7</c:f>
              <c:strCache>
                <c:ptCount val="1"/>
                <c:pt idx="0">
                  <c:v>Total # of Camp</c:v>
                </c:pt>
              </c:strCache>
            </c:strRef>
          </c:tx>
          <c:spPr>
            <a:solidFill>
              <a:srgbClr val="FFC000"/>
            </a:solidFill>
            <a:effectLst>
              <a:outerShdw blurRad="38100" dist="127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Kachin_CCCM_D!$U$8:$U$27</c:f>
              <c:strCache/>
            </c:strRef>
          </c:cat>
          <c:val>
            <c:numRef>
              <c:f>Kachin_CCCM_D!$X$8:$X$27</c:f>
              <c:numCache/>
            </c:numRef>
          </c:val>
        </c:ser>
        <c:gapWidth val="55"/>
        <c:axId val="64779117"/>
        <c:axId val="46141142"/>
      </c:barChart>
      <c:catAx>
        <c:axId val="64779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6141142"/>
        <c:crosses val="autoZero"/>
        <c:auto val="1"/>
        <c:lblOffset val="100"/>
        <c:noMultiLvlLbl val="0"/>
      </c:catAx>
      <c:valAx>
        <c:axId val="4614114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u="none" baseline="0">
                    <a:latin typeface="Franklin Gothic Book"/>
                    <a:ea typeface="Franklin Gothic Medium Cond"/>
                    <a:cs typeface="Franklin Gothic Medium Cond"/>
                  </a:rPr>
                  <a:t># of Camps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chemeClr val="bg1">
                  <a:lumMod val="50000"/>
                  <a:alpha val="12000"/>
                </a:schemeClr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u="none" baseline="0">
                <a:latin typeface="Franklin Gothic Book"/>
                <a:ea typeface="Franklin Gothic Book"/>
                <a:cs typeface="Franklin Gothic Book"/>
              </a:defRPr>
            </a:pPr>
          </a:p>
        </c:txPr>
        <c:crossAx val="6477911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>
        <a:alpha val="50000"/>
      </a:schemeClr>
    </a:solidFill>
    <a:ln>
      <a:noFill/>
    </a:ln>
  </c:spPr>
  <c:txPr>
    <a:bodyPr vert="horz" rot="0"/>
    <a:lstStyle/>
    <a:p>
      <a:pPr>
        <a:defRPr lang="en-US" cap="none" sz="900" u="none" baseline="0">
          <a:latin typeface="Franklin Gothic Book"/>
          <a:ea typeface="Franklin Gothic Book"/>
          <a:cs typeface="Franklin Gothic Book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"/>
          <c:y val="0.12375"/>
          <c:w val="0.339"/>
          <c:h val="0.8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</c:dPt>
          <c:dPt>
            <c:idx val="1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2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spPr>
              <a:solidFill>
                <a:schemeClr val="accent6">
                  <a:lumMod val="5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Kachin_CCCM_D!$V$57:$Y$57</c:f>
              <c:strCache/>
            </c:strRef>
          </c:cat>
          <c:val>
            <c:numRef>
              <c:f>Kachin_CCCM_D!$V$79:$Y$79</c:f>
              <c:numCache/>
            </c:numRef>
          </c:val>
        </c:ser>
      </c:pieChart>
      <c:spPr>
        <a:noFill/>
      </c:spPr>
    </c:plotArea>
    <c:legend>
      <c:legendPos val="t"/>
      <c:layout>
        <c:manualLayout>
          <c:xMode val="edge"/>
          <c:yMode val="edge"/>
          <c:x val="0.54225"/>
          <c:y val="0.352"/>
          <c:w val="0.41975"/>
          <c:h val="0.35125"/>
        </c:manualLayout>
      </c:layout>
      <c:overlay val="0"/>
    </c:legend>
    <c:plotVisOnly val="1"/>
    <c:dispBlanksAs val="gap"/>
    <c:showDLblsOverMax val="0"/>
  </c:chart>
  <c:spPr>
    <a:solidFill>
      <a:schemeClr val="bg1">
        <a:alpha val="50000"/>
      </a:schemeClr>
    </a:solidFill>
    <a:ln>
      <a:noFill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75"/>
          <c:y val="0.23825"/>
          <c:w val="0.908"/>
          <c:h val="0.6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Kachin_CCCM_D!$V$33</c:f>
              <c:strCache>
                <c:ptCount val="1"/>
                <c:pt idx="0">
                  <c:v>1-1,000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>
                  <a:alpha val="10000"/>
                </a:schemeClr>
              </a:solidFill>
            </a:ln>
            <a:effectLst>
              <a:outerShdw blurRad="38100" dist="12700" dir="2700000" algn="ctr" rotWithShape="0">
                <a:schemeClr val="tx1">
                  <a:alpha val="40000"/>
                </a:scheme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Kachin_CCCM_D!$U$34:$U$53</c:f>
              <c:strCache/>
            </c:strRef>
          </c:cat>
          <c:val>
            <c:numRef>
              <c:f>Kachin_CCCM_D!$V$34:$V$53</c:f>
              <c:numCache/>
            </c:numRef>
          </c:val>
        </c:ser>
        <c:ser>
          <c:idx val="0"/>
          <c:order val="1"/>
          <c:tx>
            <c:strRef>
              <c:f>Kachin_CCCM_D!$W$33</c:f>
              <c:strCache>
                <c:ptCount val="1"/>
                <c:pt idx="0">
                  <c:v>1,001-5,000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tx1">
                  <a:alpha val="20000"/>
                </a:schemeClr>
              </a:solidFill>
            </a:ln>
            <a:effectLst>
              <a:outerShdw blurRad="38100" dist="127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Kachin_CCCM_D!$U$34:$U$53</c:f>
              <c:strCache/>
            </c:strRef>
          </c:cat>
          <c:val>
            <c:numRef>
              <c:f>Kachin_CCCM_D!$W$34:$W$53</c:f>
              <c:numCache/>
            </c:numRef>
          </c:val>
        </c:ser>
        <c:ser>
          <c:idx val="2"/>
          <c:order val="2"/>
          <c:tx>
            <c:strRef>
              <c:f>Kachin_CCCM_D!$X$33</c:f>
              <c:strCache>
                <c:ptCount val="1"/>
                <c:pt idx="0">
                  <c:v>5,001-10,000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Kachin_CCCM_D!$U$34:$U$53</c:f>
              <c:strCache/>
            </c:strRef>
          </c:cat>
          <c:val>
            <c:numRef>
              <c:f>Kachin_CCCM_D!$X$34:$X$53</c:f>
              <c:numCache/>
            </c:numRef>
          </c:val>
        </c:ser>
        <c:ser>
          <c:idx val="3"/>
          <c:order val="3"/>
          <c:tx>
            <c:strRef>
              <c:f>Kachin_CCCM_D!$Y$33</c:f>
              <c:strCache>
                <c:ptCount val="1"/>
                <c:pt idx="0">
                  <c:v>Over 10,000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Kachin_CCCM_D!$U$34:$U$53</c:f>
              <c:strCache/>
            </c:strRef>
          </c:cat>
          <c:val>
            <c:numRef>
              <c:f>Kachin_CCCM_D!$Y$34:$Y$53</c:f>
              <c:numCache/>
            </c:numRef>
          </c:val>
        </c:ser>
        <c:gapWidth val="13"/>
        <c:axId val="12617095"/>
        <c:axId val="46444992"/>
      </c:barChart>
      <c:catAx>
        <c:axId val="12617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44992"/>
        <c:crosses val="autoZero"/>
        <c:auto val="1"/>
        <c:lblOffset val="100"/>
        <c:noMultiLvlLbl val="0"/>
      </c:catAx>
      <c:valAx>
        <c:axId val="46444992"/>
        <c:scaling>
          <c:orientation val="minMax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crossAx val="1261709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2175"/>
          <c:y val="0.103"/>
          <c:w val="0.942"/>
          <c:h val="0.055"/>
        </c:manualLayout>
      </c:layout>
      <c:overlay val="0"/>
    </c:legend>
    <c:plotVisOnly val="1"/>
    <c:dispBlanksAs val="gap"/>
    <c:showDLblsOverMax val="0"/>
  </c:chart>
  <c:spPr>
    <a:solidFill>
      <a:schemeClr val="bg1">
        <a:alpha val="50000"/>
      </a:schemeClr>
    </a:solidFill>
    <a:ln>
      <a:noFill/>
    </a:ln>
  </c:spPr>
  <c:txPr>
    <a:bodyPr vert="horz" rot="0"/>
    <a:lstStyle/>
    <a:p>
      <a:pPr>
        <a:defRPr lang="en-US" cap="none" sz="900" u="none" baseline="0">
          <a:latin typeface="Franklin Gothic Book"/>
          <a:ea typeface="Franklin Gothic Book"/>
          <a:cs typeface="Franklin Gothic Book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CampAnalysis!A1" /><Relationship Id="rId2" Type="http://schemas.openxmlformats.org/officeDocument/2006/relationships/hyperlink" Target="#Camp_List!A1" /><Relationship Id="rId3" Type="http://schemas.openxmlformats.org/officeDocument/2006/relationships/hyperlink" Target="#'Shelter Tracking'!A1" /><Relationship Id="rId4" Type="http://schemas.openxmlformats.org/officeDocument/2006/relationships/hyperlink" Target="#Shelter_Progress!A1" /><Relationship Id="rId5" Type="http://schemas.openxmlformats.org/officeDocument/2006/relationships/image" Target="../media/image6.wmf" /><Relationship Id="rId6" Type="http://schemas.openxmlformats.org/officeDocument/2006/relationships/image" Target="../media/image7.wmf" /><Relationship Id="rId7" Type="http://schemas.openxmlformats.org/officeDocument/2006/relationships/image" Target="../media/image8.wmf" /><Relationship Id="rId8" Type="http://schemas.openxmlformats.org/officeDocument/2006/relationships/hyperlink" Target="#NFI_Tracking!A1" /><Relationship Id="rId9" Type="http://schemas.openxmlformats.org/officeDocument/2006/relationships/hyperlink" Target="#NFIAnalysis!A1" /><Relationship Id="rId10" Type="http://schemas.openxmlformats.org/officeDocument/2006/relationships/hyperlink" Target="#NFISummary!A1" /><Relationship Id="rId11" Type="http://schemas.openxmlformats.org/officeDocument/2006/relationships/hyperlink" Target="#NFIAgency!A1" /><Relationship Id="rId12" Type="http://schemas.openxmlformats.org/officeDocument/2006/relationships/hyperlink" Target="#ShelterAgency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hyperlink" Target="#Home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Home!A1" /><Relationship Id="rId2" Type="http://schemas.openxmlformats.org/officeDocument/2006/relationships/hyperlink" Target="#Shelter_Progress!A1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Home!A1" /><Relationship Id="rId2" Type="http://schemas.openxmlformats.org/officeDocument/2006/relationships/hyperlink" Target="#'Shelter Tracking'!A1" /><Relationship Id="rId3" Type="http://schemas.openxmlformats.org/officeDocument/2006/relationships/chart" Target="/xl/charts/chart11.xml" /><Relationship Id="rId4" Type="http://schemas.openxmlformats.org/officeDocument/2006/relationships/hyperlink" Target="#ShelterAgency!A1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image" Target="../media/image1.png" /><Relationship Id="rId9" Type="http://schemas.openxmlformats.org/officeDocument/2006/relationships/image" Target="../media/image2.png" /><Relationship Id="rId10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Home!A1" /><Relationship Id="rId2" Type="http://schemas.openxmlformats.org/officeDocument/2006/relationships/hyperlink" Target="#NFI_Tracking!A1" /><Relationship Id="rId3" Type="http://schemas.openxmlformats.org/officeDocument/2006/relationships/hyperlink" Target="#Shelter_Progress!A1" /><Relationship Id="rId4" Type="http://schemas.openxmlformats.org/officeDocument/2006/relationships/image" Target="../media/image1.png" /><Relationship Id="rId5" Type="http://schemas.openxmlformats.org/officeDocument/2006/relationships/image" Target="../media/image2.png" /><Relationship Id="rId6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CampAnalysis!A1" /><Relationship Id="rId2" Type="http://schemas.openxmlformats.org/officeDocument/2006/relationships/hyperlink" Target="#Home!A1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hyperlink" Target="#Home!A1" /><Relationship Id="rId6" Type="http://schemas.openxmlformats.org/officeDocument/2006/relationships/image" Target="../media/image1.png" /><Relationship Id="rId7" Type="http://schemas.openxmlformats.org/officeDocument/2006/relationships/image" Target="../media/image2.png" /><Relationship Id="rId8" Type="http://schemas.openxmlformats.org/officeDocument/2006/relationships/image" Target="../media/image3.png" /><Relationship Id="rId9" Type="http://schemas.openxmlformats.org/officeDocument/2006/relationships/chart" Target="/xl/charts/chart18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hyperlink" Target="#Home!A1" /><Relationship Id="rId6" Type="http://schemas.openxmlformats.org/officeDocument/2006/relationships/image" Target="../media/image1.png" /><Relationship Id="rId7" Type="http://schemas.openxmlformats.org/officeDocument/2006/relationships/image" Target="../media/image2.png" /><Relationship Id="rId8" Type="http://schemas.openxmlformats.org/officeDocument/2006/relationships/image" Target="../media/image3.png" /><Relationship Id="rId9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Home!A1" /><Relationship Id="rId2" Type="http://schemas.openxmlformats.org/officeDocument/2006/relationships/hyperlink" Target="#NFIAnalysis!A1" /><Relationship Id="rId3" Type="http://schemas.openxmlformats.org/officeDocument/2006/relationships/hyperlink" Target="#NFISummary!A1" /><Relationship Id="rId4" Type="http://schemas.openxmlformats.org/officeDocument/2006/relationships/hyperlink" Target="#NFIAgency!A1" /><Relationship Id="rId5" Type="http://schemas.openxmlformats.org/officeDocument/2006/relationships/image" Target="../media/image1.png" /><Relationship Id="rId6" Type="http://schemas.openxmlformats.org/officeDocument/2006/relationships/image" Target="../media/image2.png" /><Relationship Id="rId7" Type="http://schemas.openxmlformats.org/officeDocument/2006/relationships/image" Target="../media/image3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Home!A1" /><Relationship Id="rId2" Type="http://schemas.openxmlformats.org/officeDocument/2006/relationships/hyperlink" Target="#NFIAnalysis!A1" /><Relationship Id="rId3" Type="http://schemas.openxmlformats.org/officeDocument/2006/relationships/hyperlink" Target="#NFISummary!A1" /><Relationship Id="rId4" Type="http://schemas.openxmlformats.org/officeDocument/2006/relationships/hyperlink" Target="#NFIAgency!A1" /><Relationship Id="rId5" Type="http://schemas.openxmlformats.org/officeDocument/2006/relationships/image" Target="../media/image1.png" /><Relationship Id="rId6" Type="http://schemas.openxmlformats.org/officeDocument/2006/relationships/image" Target="../media/image2.png" /><Relationship Id="rId7" Type="http://schemas.openxmlformats.org/officeDocument/2006/relationships/image" Target="../media/image3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Home!A1" /><Relationship Id="rId2" Type="http://schemas.openxmlformats.org/officeDocument/2006/relationships/hyperlink" Target="#NFI_Tracking!A1" /><Relationship Id="rId3" Type="http://schemas.openxmlformats.org/officeDocument/2006/relationships/hyperlink" Target="#NFIAnalysis!A1" /><Relationship Id="rId4" Type="http://schemas.openxmlformats.org/officeDocument/2006/relationships/hyperlink" Target="#NFISummary!A1" /><Relationship Id="rId5" Type="http://schemas.openxmlformats.org/officeDocument/2006/relationships/image" Target="../media/image1.png" /><Relationship Id="rId6" Type="http://schemas.openxmlformats.org/officeDocument/2006/relationships/image" Target="../media/image2.png" /><Relationship Id="rId7" Type="http://schemas.openxmlformats.org/officeDocument/2006/relationships/image" Target="../media/image3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Home!A1" /><Relationship Id="rId2" Type="http://schemas.openxmlformats.org/officeDocument/2006/relationships/hyperlink" Target="#NFI_Tracking!A1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hyperlink" Target="#NFISummary!A1" /><Relationship Id="rId6" Type="http://schemas.openxmlformats.org/officeDocument/2006/relationships/hyperlink" Target="#NFIAgency!A1" /><Relationship Id="rId7" Type="http://schemas.openxmlformats.org/officeDocument/2006/relationships/image" Target="../media/image1.png" /><Relationship Id="rId8" Type="http://schemas.openxmlformats.org/officeDocument/2006/relationships/image" Target="../media/image2.png" /><Relationship Id="rId9" Type="http://schemas.openxmlformats.org/officeDocument/2006/relationships/image" Target="../media/image3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hyperlink" Target="#Home!A1" /><Relationship Id="rId3" Type="http://schemas.openxmlformats.org/officeDocument/2006/relationships/hyperlink" Target="#NFI_Tracking!A1" /><Relationship Id="rId4" Type="http://schemas.openxmlformats.org/officeDocument/2006/relationships/hyperlink" Target="#NFIAnalysis!A1" /><Relationship Id="rId5" Type="http://schemas.openxmlformats.org/officeDocument/2006/relationships/hyperlink" Target="#NFIAgency!A1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Home!A1" /><Relationship Id="rId2" Type="http://schemas.openxmlformats.org/officeDocument/2006/relationships/hyperlink" Target="#Camp_List!A1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image" Target="../media/image1.png" /><Relationship Id="rId6" Type="http://schemas.openxmlformats.org/officeDocument/2006/relationships/image" Target="../media/image2.png" /><Relationship Id="rId7" Type="http://schemas.openxmlformats.org/officeDocument/2006/relationships/image" Target="../media/image3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Hom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Relationship Id="rId7" Type="http://schemas.openxmlformats.org/officeDocument/2006/relationships/chart" Target="/xl/charts/chart5.xml" /><Relationship Id="rId8" Type="http://schemas.openxmlformats.org/officeDocument/2006/relationships/chart" Target="/xl/charts/chart6.xml" /><Relationship Id="rId9" Type="http://schemas.openxmlformats.org/officeDocument/2006/relationships/hyperlink" Target="#Home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66675</xdr:rowOff>
    </xdr:from>
    <xdr:to>
      <xdr:col>7</xdr:col>
      <xdr:colOff>180975</xdr:colOff>
      <xdr:row>8</xdr:row>
      <xdr:rowOff>95250</xdr:rowOff>
    </xdr:to>
    <xdr:sp macro="" textlink="">
      <xdr:nvSpPr>
        <xdr:cNvPr id="2" name="Rounded Rectangle 1">
          <a:hlinkClick r:id="rId1"/>
        </xdr:cNvPr>
        <xdr:cNvSpPr/>
      </xdr:nvSpPr>
      <xdr:spPr>
        <a:xfrm>
          <a:off x="2181225" y="1009650"/>
          <a:ext cx="1400175" cy="219075"/>
        </a:xfrm>
        <a:prstGeom prst="roundRect">
          <a:avLst/>
        </a:prstGeom>
        <a:ln>
          <a:solidFill>
            <a:schemeClr val="accent6">
              <a:lumMod val="60000"/>
              <a:lumOff val="40000"/>
            </a:schemeClr>
          </a:solidFill>
          <a:headEnd type="none"/>
          <a:tailEnd type="non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Camp Analysis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23</xdr:col>
      <xdr:colOff>209550</xdr:colOff>
      <xdr:row>24</xdr:row>
      <xdr:rowOff>161925</xdr:rowOff>
    </xdr:to>
    <xdr:sp macro="" textlink="">
      <xdr:nvSpPr>
        <xdr:cNvPr id="4" name="Rounded Rectangle 3"/>
        <xdr:cNvSpPr/>
      </xdr:nvSpPr>
      <xdr:spPr>
        <a:xfrm>
          <a:off x="133350" y="66675"/>
          <a:ext cx="8181975" cy="4276725"/>
        </a:xfrm>
        <a:prstGeom prst="roundRect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9525</xdr:colOff>
      <xdr:row>9</xdr:row>
      <xdr:rowOff>38100</xdr:rowOff>
    </xdr:from>
    <xdr:to>
      <xdr:col>7</xdr:col>
      <xdr:colOff>180975</xdr:colOff>
      <xdr:row>10</xdr:row>
      <xdr:rowOff>85725</xdr:rowOff>
    </xdr:to>
    <xdr:sp macro="" textlink="">
      <xdr:nvSpPr>
        <xdr:cNvPr id="6" name="Rounded Rectangle 5">
          <a:hlinkClick r:id="rId2"/>
        </xdr:cNvPr>
        <xdr:cNvSpPr/>
      </xdr:nvSpPr>
      <xdr:spPr>
        <a:xfrm>
          <a:off x="2190750" y="1362075"/>
          <a:ext cx="1390650" cy="238125"/>
        </a:xfrm>
        <a:prstGeom prst="roundRect">
          <a:avLst/>
        </a:prstGeom>
        <a:ln>
          <a:solidFill>
            <a:schemeClr val="accent6">
              <a:lumMod val="60000"/>
              <a:lumOff val="40000"/>
            </a:schemeClr>
          </a:solidFill>
          <a:headEnd type="none"/>
          <a:tailEnd type="non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Detailed Camp List</a:t>
          </a:r>
        </a:p>
      </xdr:txBody>
    </xdr:sp>
    <xdr:clientData/>
  </xdr:twoCellAnchor>
  <xdr:twoCellAnchor>
    <xdr:from>
      <xdr:col>5</xdr:col>
      <xdr:colOff>38100</xdr:colOff>
      <xdr:row>17</xdr:row>
      <xdr:rowOff>38100</xdr:rowOff>
    </xdr:from>
    <xdr:to>
      <xdr:col>7</xdr:col>
      <xdr:colOff>200025</xdr:colOff>
      <xdr:row>18</xdr:row>
      <xdr:rowOff>95250</xdr:rowOff>
    </xdr:to>
    <xdr:sp macro="" textlink="">
      <xdr:nvSpPr>
        <xdr:cNvPr id="7" name="Rounded Rectangle 6">
          <a:hlinkClick r:id="rId3"/>
        </xdr:cNvPr>
        <xdr:cNvSpPr/>
      </xdr:nvSpPr>
      <xdr:spPr>
        <a:xfrm>
          <a:off x="2219325" y="2886075"/>
          <a:ext cx="1381125" cy="247650"/>
        </a:xfrm>
        <a:prstGeom prst="roundRect">
          <a:avLst/>
        </a:prstGeom>
        <a:ln>
          <a:solidFill>
            <a:schemeClr val="accent6">
              <a:lumMod val="60000"/>
              <a:lumOff val="40000"/>
            </a:schemeClr>
          </a:solidFill>
          <a:headEnd type="none"/>
          <a:tailEnd type="non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Shelter</a:t>
          </a:r>
          <a:r>
            <a:rPr lang="en-US" sz="1100" b="1" baseline="0"/>
            <a:t> Detail Sheet</a:t>
          </a:r>
          <a:endParaRPr lang="en-US" sz="1100" b="1"/>
        </a:p>
      </xdr:txBody>
    </xdr:sp>
    <xdr:clientData/>
  </xdr:twoCellAnchor>
  <xdr:twoCellAnchor>
    <xdr:from>
      <xdr:col>5</xdr:col>
      <xdr:colOff>28575</xdr:colOff>
      <xdr:row>13</xdr:row>
      <xdr:rowOff>76200</xdr:rowOff>
    </xdr:from>
    <xdr:to>
      <xdr:col>7</xdr:col>
      <xdr:colOff>180975</xdr:colOff>
      <xdr:row>14</xdr:row>
      <xdr:rowOff>114300</xdr:rowOff>
    </xdr:to>
    <xdr:sp macro="" textlink="">
      <xdr:nvSpPr>
        <xdr:cNvPr id="8" name="Rounded Rectangle 7">
          <a:hlinkClick r:id="rId4"/>
        </xdr:cNvPr>
        <xdr:cNvSpPr/>
      </xdr:nvSpPr>
      <xdr:spPr>
        <a:xfrm>
          <a:off x="2209800" y="2162175"/>
          <a:ext cx="1371600" cy="228600"/>
        </a:xfrm>
        <a:prstGeom prst="roundRect">
          <a:avLst/>
        </a:prstGeom>
        <a:ln>
          <a:solidFill>
            <a:schemeClr val="accent6">
              <a:lumMod val="60000"/>
              <a:lumOff val="40000"/>
            </a:schemeClr>
          </a:solidFill>
          <a:headEnd type="none"/>
          <a:tailEnd type="non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Shelter</a:t>
          </a:r>
          <a:r>
            <a:rPr lang="en-US" sz="1100" b="1" baseline="0"/>
            <a:t>  Progress</a:t>
          </a:r>
          <a:endParaRPr lang="en-US" sz="1100" b="1"/>
        </a:p>
      </xdr:txBody>
    </xdr:sp>
    <xdr:clientData/>
  </xdr:twoCellAnchor>
  <xdr:twoCellAnchor>
    <xdr:from>
      <xdr:col>19</xdr:col>
      <xdr:colOff>19050</xdr:colOff>
      <xdr:row>1</xdr:row>
      <xdr:rowOff>104775</xdr:rowOff>
    </xdr:from>
    <xdr:to>
      <xdr:col>20</xdr:col>
      <xdr:colOff>0</xdr:colOff>
      <xdr:row>3</xdr:row>
      <xdr:rowOff>142875</xdr:rowOff>
    </xdr:to>
    <xdr:pic>
      <xdr:nvPicPr>
        <xdr:cNvPr id="9" name="Picture 1964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496175" y="171450"/>
          <a:ext cx="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9525</xdr:colOff>
      <xdr:row>1</xdr:row>
      <xdr:rowOff>104775</xdr:rowOff>
    </xdr:from>
    <xdr:to>
      <xdr:col>20</xdr:col>
      <xdr:colOff>0</xdr:colOff>
      <xdr:row>3</xdr:row>
      <xdr:rowOff>142875</xdr:rowOff>
    </xdr:to>
    <xdr:pic>
      <xdr:nvPicPr>
        <xdr:cNvPr id="10" name="Picture 1135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496175" y="171450"/>
          <a:ext cx="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38100</xdr:colOff>
      <xdr:row>1</xdr:row>
      <xdr:rowOff>104775</xdr:rowOff>
    </xdr:from>
    <xdr:to>
      <xdr:col>21</xdr:col>
      <xdr:colOff>0</xdr:colOff>
      <xdr:row>3</xdr:row>
      <xdr:rowOff>142875</xdr:rowOff>
    </xdr:to>
    <xdr:pic>
      <xdr:nvPicPr>
        <xdr:cNvPr id="11" name="Picture 1966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496175" y="171450"/>
          <a:ext cx="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323850</xdr:colOff>
      <xdr:row>22</xdr:row>
      <xdr:rowOff>66675</xdr:rowOff>
    </xdr:from>
    <xdr:to>
      <xdr:col>9</xdr:col>
      <xdr:colOff>447675</xdr:colOff>
      <xdr:row>23</xdr:row>
      <xdr:rowOff>114300</xdr:rowOff>
    </xdr:to>
    <xdr:sp macro="" textlink="">
      <xdr:nvSpPr>
        <xdr:cNvPr id="13" name="Rounded Rectangle 12">
          <a:hlinkClick r:id="rId8"/>
        </xdr:cNvPr>
        <xdr:cNvSpPr/>
      </xdr:nvSpPr>
      <xdr:spPr>
        <a:xfrm>
          <a:off x="3724275" y="3867150"/>
          <a:ext cx="1343025" cy="238125"/>
        </a:xfrm>
        <a:prstGeom prst="roundRect">
          <a:avLst/>
        </a:prstGeom>
        <a:ln>
          <a:solidFill>
            <a:schemeClr val="accent6">
              <a:lumMod val="60000"/>
              <a:lumOff val="40000"/>
            </a:schemeClr>
          </a:solidFill>
          <a:headEnd type="none"/>
          <a:tailEnd type="non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 b="1" baseline="0"/>
            <a:t>NFI  Detail Sheet</a:t>
          </a:r>
          <a:endParaRPr lang="en-US" sz="1100" b="1"/>
        </a:p>
      </xdr:txBody>
    </xdr:sp>
    <xdr:clientData/>
  </xdr:twoCellAnchor>
  <xdr:twoCellAnchor>
    <xdr:from>
      <xdr:col>5</xdr:col>
      <xdr:colOff>28575</xdr:colOff>
      <xdr:row>22</xdr:row>
      <xdr:rowOff>76200</xdr:rowOff>
    </xdr:from>
    <xdr:to>
      <xdr:col>7</xdr:col>
      <xdr:colOff>171450</xdr:colOff>
      <xdr:row>23</xdr:row>
      <xdr:rowOff>104775</xdr:rowOff>
    </xdr:to>
    <xdr:sp macro="" textlink="">
      <xdr:nvSpPr>
        <xdr:cNvPr id="16" name="Rounded Rectangle 15">
          <a:hlinkClick r:id="rId9"/>
        </xdr:cNvPr>
        <xdr:cNvSpPr/>
      </xdr:nvSpPr>
      <xdr:spPr>
        <a:xfrm>
          <a:off x="2209800" y="3876675"/>
          <a:ext cx="1362075" cy="219075"/>
        </a:xfrm>
        <a:prstGeom prst="roundRect">
          <a:avLst/>
        </a:prstGeom>
        <a:ln>
          <a:solidFill>
            <a:schemeClr val="accent6">
              <a:lumMod val="60000"/>
              <a:lumOff val="40000"/>
            </a:schemeClr>
          </a:solidFill>
          <a:headEnd type="none"/>
          <a:tailEnd type="non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 b="1" baseline="0"/>
            <a:t>NFI  Township</a:t>
          </a:r>
          <a:endParaRPr lang="en-US" sz="1100" b="1"/>
        </a:p>
      </xdr:txBody>
    </xdr:sp>
    <xdr:clientData/>
  </xdr:twoCellAnchor>
  <xdr:twoCellAnchor>
    <xdr:from>
      <xdr:col>5</xdr:col>
      <xdr:colOff>28575</xdr:colOff>
      <xdr:row>20</xdr:row>
      <xdr:rowOff>104775</xdr:rowOff>
    </xdr:from>
    <xdr:to>
      <xdr:col>7</xdr:col>
      <xdr:colOff>171450</xdr:colOff>
      <xdr:row>21</xdr:row>
      <xdr:rowOff>133350</xdr:rowOff>
    </xdr:to>
    <xdr:sp macro="" textlink="">
      <xdr:nvSpPr>
        <xdr:cNvPr id="12" name="Rounded Rectangle 11">
          <a:hlinkClick r:id="rId10"/>
        </xdr:cNvPr>
        <xdr:cNvSpPr/>
      </xdr:nvSpPr>
      <xdr:spPr>
        <a:xfrm>
          <a:off x="2209800" y="3524250"/>
          <a:ext cx="1362075" cy="219075"/>
        </a:xfrm>
        <a:prstGeom prst="roundRect">
          <a:avLst/>
        </a:prstGeom>
        <a:ln>
          <a:solidFill>
            <a:schemeClr val="accent6">
              <a:lumMod val="60000"/>
              <a:lumOff val="40000"/>
            </a:schemeClr>
          </a:solidFill>
          <a:headEnd type="none"/>
          <a:tailEnd type="non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 b="1" baseline="0"/>
            <a:t>NFI  Summary</a:t>
          </a:r>
          <a:endParaRPr lang="en-US" sz="1100" b="1"/>
        </a:p>
      </xdr:txBody>
    </xdr:sp>
    <xdr:clientData/>
  </xdr:twoCellAnchor>
  <xdr:twoCellAnchor>
    <xdr:from>
      <xdr:col>7</xdr:col>
      <xdr:colOff>333375</xdr:colOff>
      <xdr:row>20</xdr:row>
      <xdr:rowOff>104775</xdr:rowOff>
    </xdr:from>
    <xdr:to>
      <xdr:col>9</xdr:col>
      <xdr:colOff>457200</xdr:colOff>
      <xdr:row>21</xdr:row>
      <xdr:rowOff>152400</xdr:rowOff>
    </xdr:to>
    <xdr:sp macro="" textlink="">
      <xdr:nvSpPr>
        <xdr:cNvPr id="14" name="Rounded Rectangle 13">
          <a:hlinkClick r:id="rId11"/>
        </xdr:cNvPr>
        <xdr:cNvSpPr/>
      </xdr:nvSpPr>
      <xdr:spPr>
        <a:xfrm>
          <a:off x="3733800" y="3524250"/>
          <a:ext cx="1343025" cy="238125"/>
        </a:xfrm>
        <a:prstGeom prst="roundRect">
          <a:avLst/>
        </a:prstGeom>
        <a:ln>
          <a:solidFill>
            <a:schemeClr val="accent6">
              <a:lumMod val="60000"/>
              <a:lumOff val="40000"/>
            </a:schemeClr>
          </a:solidFill>
          <a:headEnd type="none"/>
          <a:tailEnd type="non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 b="1" baseline="0"/>
            <a:t>NFI  Agency</a:t>
          </a:r>
          <a:endParaRPr lang="en-US" sz="1100" b="1"/>
        </a:p>
      </xdr:txBody>
    </xdr:sp>
    <xdr:clientData/>
  </xdr:twoCellAnchor>
  <xdr:twoCellAnchor>
    <xdr:from>
      <xdr:col>5</xdr:col>
      <xdr:colOff>19050</xdr:colOff>
      <xdr:row>15</xdr:row>
      <xdr:rowOff>57150</xdr:rowOff>
    </xdr:from>
    <xdr:to>
      <xdr:col>7</xdr:col>
      <xdr:colOff>219075</xdr:colOff>
      <xdr:row>16</xdr:row>
      <xdr:rowOff>104775</xdr:rowOff>
    </xdr:to>
    <xdr:sp macro="" textlink="">
      <xdr:nvSpPr>
        <xdr:cNvPr id="15" name="Rounded Rectangle 14">
          <a:hlinkClick r:id="rId12"/>
        </xdr:cNvPr>
        <xdr:cNvSpPr/>
      </xdr:nvSpPr>
      <xdr:spPr>
        <a:xfrm>
          <a:off x="2200275" y="2524125"/>
          <a:ext cx="1419225" cy="238125"/>
        </a:xfrm>
        <a:prstGeom prst="roundRect">
          <a:avLst/>
        </a:prstGeom>
        <a:ln>
          <a:solidFill>
            <a:schemeClr val="accent6">
              <a:lumMod val="60000"/>
              <a:lumOff val="40000"/>
            </a:schemeClr>
          </a:solidFill>
          <a:headEnd type="none"/>
          <a:tailEnd type="non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Shelter </a:t>
          </a:r>
          <a:r>
            <a:rPr lang="en-US" sz="1100" b="1" baseline="0"/>
            <a:t> by Agency</a:t>
          </a:r>
          <a:endParaRPr lang="en-US" sz="1100" b="1"/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0.01275</cdr:y>
    </cdr:from>
    <cdr:to>
      <cdr:x>0</cdr:x>
      <cdr:y>0</cdr:y>
    </cdr:to>
    <cdr:sp macro="" textlink="">
      <cdr:nvSpPr>
        <cdr:cNvPr id="4" name="TextBox 3"/>
        <cdr:cNvSpPr txBox="1">
          <a:spLocks/>
        </cdr:cNvSpPr>
      </cdr:nvSpPr>
      <cdr:spPr>
        <a:xfrm>
          <a:off x="0" y="19050"/>
          <a:ext cx="0" cy="0"/>
        </a:xfrm>
        <a:prstGeom prst="rect">
          <a:avLst/>
        </a:prstGeom>
        <a:solidFill>
          <a:srgbClr val="FFFFFF">
            <a:alpha val="70000"/>
          </a:srgbClr>
        </a:solidFill>
        <a:ln w="9525" cmpd="sng">
          <a:noFill/>
        </a:ln>
        <a:effectLst>
          <a:outerShdw blurRad="88900" dist="25400" dir="5400000" algn="t" rotWithShape="0">
            <a:prstClr val="black">
              <a:alpha val="11000"/>
            </a:prstClr>
          </a:outerShdw>
        </a:effectLst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tIns="0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400" baseline="0">
              <a:latin typeface="Franklin Gothic Medium Cond" pitchFamily="34" charset="0"/>
            </a:rPr>
            <a:t>% of IDP &amp; the sizes of the camps they are living</a:t>
          </a:r>
          <a:endParaRPr lang="en-GB" sz="1400">
            <a:latin typeface="Franklin Gothic Medium Cond" pitchFamily="34" charset="0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TextBox 3"/>
        <cdr:cNvSpPr txBox="1"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>
            <a:alpha val="70000"/>
          </a:srgbClr>
        </a:solidFill>
        <a:ln w="9525" cmpd="sng">
          <a:noFill/>
        </a:ln>
        <a:effectLst>
          <a:outerShdw blurRad="88900" dist="25400" dir="5400000" algn="t" rotWithShape="0">
            <a:prstClr val="black">
              <a:alpha val="11000"/>
            </a:prstClr>
          </a:outerShdw>
        </a:effectLst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tIns="0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400" baseline="0">
              <a:latin typeface="Franklin Gothic Medium Cond" pitchFamily="34" charset="0"/>
            </a:rPr>
            <a:t># of Camps by size of population in differnt Township</a:t>
          </a:r>
          <a:endParaRPr lang="en-GB" sz="1400">
            <a:latin typeface="Franklin Gothic Medium Cond" pitchFamily="34" charset="0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4" name="TextBox 3"/>
        <cdr:cNvSpPr txBox="1"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>
            <a:alpha val="70000"/>
          </a:srgbClr>
        </a:solidFill>
        <a:ln w="9525" cmpd="sng">
          <a:noFill/>
        </a:ln>
        <a:effectLst>
          <a:outerShdw blurRad="88900" dist="25400" dir="5400000" algn="t" rotWithShape="0">
            <a:prstClr val="black">
              <a:alpha val="11000"/>
            </a:prstClr>
          </a:outerShdw>
        </a:effectLst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tIns="0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400" baseline="0">
              <a:latin typeface="Franklin Gothic Medium Cond" pitchFamily="34" charset="0"/>
            </a:rPr>
            <a:t># of IDPs By Township</a:t>
          </a:r>
          <a:endParaRPr lang="en-GB" sz="1400">
            <a:latin typeface="Franklin Gothic Medium Cond" pitchFamily="34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142875</xdr:rowOff>
    </xdr:from>
    <xdr:to>
      <xdr:col>8</xdr:col>
      <xdr:colOff>609600</xdr:colOff>
      <xdr:row>9</xdr:row>
      <xdr:rowOff>47625</xdr:rowOff>
    </xdr:to>
    <xdr:grpSp>
      <xdr:nvGrpSpPr>
        <xdr:cNvPr id="3" name="Group 2"/>
        <xdr:cNvGrpSpPr/>
      </xdr:nvGrpSpPr>
      <xdr:grpSpPr>
        <a:xfrm>
          <a:off x="19050" y="1857375"/>
          <a:ext cx="5372100" cy="581025"/>
          <a:chOff x="3977473" y="11269980"/>
          <a:chExt cx="1965263" cy="217553"/>
        </a:xfrm>
        <a:effectLst>
          <a:outerShdw blurRad="63500" sx="102000" sy="102000" algn="ctr" rotWithShape="0">
            <a:prstClr val="black">
              <a:alpha val="40000"/>
            </a:prstClr>
          </a:outerShdw>
        </a:effectLst>
      </xdr:grpSpPr>
      <xdr:sp macro="" textlink="">
        <xdr:nvSpPr>
          <xdr:cNvPr id="4" name="Rectangle 3"/>
          <xdr:cNvSpPr/>
        </xdr:nvSpPr>
        <xdr:spPr>
          <a:xfrm>
            <a:off x="3988773" y="11300437"/>
            <a:ext cx="1348662" cy="182908"/>
          </a:xfrm>
          <a:prstGeom prst="rect">
            <a:avLst/>
          </a:prstGeom>
          <a:solidFill>
            <a:srgbClr val="FFFFFF">
              <a:alpha val="85000"/>
            </a:srgbClr>
          </a:solidFill>
          <a:ln>
            <a:noFill/>
          </a:ln>
        </xdr:spPr>
        <xdr:style>
          <a:lnRef idx="2">
            <a:schemeClr val="accent1"/>
          </a:lnRef>
          <a:fillRef idx="1">
            <a:schemeClr val="bg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2400"/>
          </a:p>
        </xdr:txBody>
      </xdr:sp>
      <xdr:sp macro="" textlink="">
        <xdr:nvSpPr>
          <xdr:cNvPr id="5" name="TextBox 4"/>
          <xdr:cNvSpPr txBox="1"/>
        </xdr:nvSpPr>
        <xdr:spPr>
          <a:xfrm>
            <a:off x="3977473" y="11269980"/>
            <a:ext cx="1294617" cy="208688"/>
          </a:xfrm>
          <a:prstGeom prst="rect">
            <a:avLst/>
          </a:prstGeom>
          <a:noFill/>
          <a:ln w="9525" cmpd="sng">
            <a:noFill/>
          </a:ln>
          <a:effectLst>
            <a:glow rad="25400">
              <a:schemeClr val="bg1"/>
            </a:glow>
          </a:effectLst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180000" tIns="144000" rtlCol="0" anchor="t"/>
          <a:lstStyle/>
          <a:p>
            <a:r>
              <a:rPr lang="en-GB" sz="1400" b="0">
                <a:solidFill>
                  <a:schemeClr val="dk1"/>
                </a:solidFill>
                <a:effectLst/>
                <a:latin typeface="Franklin Gothic Medium Cond" pitchFamily="34" charset="0"/>
                <a:ea typeface="+mn-ea"/>
                <a:cs typeface="+mn-cs"/>
              </a:rPr>
              <a:t>Total Estimated</a:t>
            </a:r>
            <a:r>
              <a:rPr lang="en-GB" sz="1400" b="0" baseline="0">
                <a:solidFill>
                  <a:schemeClr val="dk1"/>
                </a:solidFill>
                <a:effectLst/>
                <a:latin typeface="Franklin Gothic Medium Cond" pitchFamily="34" charset="0"/>
                <a:ea typeface="+mn-ea"/>
                <a:cs typeface="+mn-cs"/>
              </a:rPr>
              <a:t> number </a:t>
            </a:r>
            <a:r>
              <a:rPr lang="en-GB" sz="1400" b="0">
                <a:solidFill>
                  <a:schemeClr val="dk1"/>
                </a:solidFill>
                <a:effectLst/>
                <a:latin typeface="Franklin Gothic Medium Cond" pitchFamily="34" charset="0"/>
                <a:ea typeface="+mn-ea"/>
                <a:cs typeface="+mn-cs"/>
              </a:rPr>
              <a:t>IDP Population</a:t>
            </a:r>
            <a:endParaRPr lang="en-GB" sz="1400">
              <a:effectLst/>
              <a:latin typeface="Franklin Gothic Medium Cond" pitchFamily="34" charset="0"/>
            </a:endParaRPr>
          </a:p>
        </xdr:txBody>
      </xdr:sp>
      <xdr:sp macro="" textlink="$W$28">
        <xdr:nvSpPr>
          <xdr:cNvPr id="6" name="Rectangle 5"/>
          <xdr:cNvSpPr/>
        </xdr:nvSpPr>
        <xdr:spPr>
          <a:xfrm>
            <a:off x="5172844" y="11296630"/>
            <a:ext cx="769892" cy="190903"/>
          </a:xfrm>
          <a:prstGeom prst="rect">
            <a:avLst/>
          </a:prstGeom>
          <a:solidFill>
            <a:srgbClr val="808080"/>
          </a:solidFill>
          <a:ln w="6350">
            <a:solidFill>
              <a:schemeClr val="bg1">
                <a:lumMod val="85000"/>
              </a:schemeClr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tIns="0" rtlCol="0" anchor="ctr"/>
          <a:lstStyle/>
          <a:p>
            <a:pPr algn="ctr"/>
            <a:fld id="{1B17020B-3464-4A6D-97E7-FD3F342FA3A5}" type="TxLink">
              <a:rPr lang="en-US" sz="2800">
                <a:latin typeface="Franklin Gothic Demi Cond" pitchFamily="34" charset="0"/>
              </a:rPr>
              <a:pPr algn="ctr"/>
              <a:t> 82,990 </a:t>
            </a:fld>
            <a:endParaRPr lang="en-US" sz="2800">
              <a:latin typeface="Franklin Gothic Demi Cond" pitchFamily="34" charset="0"/>
            </a:endParaRPr>
          </a:p>
        </xdr:txBody>
      </xdr:sp>
    </xdr:grpSp>
    <xdr:clientData/>
  </xdr:twoCellAnchor>
  <xdr:oneCellAnchor>
    <xdr:from>
      <xdr:col>14</xdr:col>
      <xdr:colOff>504825</xdr:colOff>
      <xdr:row>4</xdr:row>
      <xdr:rowOff>28575</xdr:rowOff>
    </xdr:from>
    <xdr:ext cx="180975" cy="266700"/>
    <xdr:sp macro="" textlink="">
      <xdr:nvSpPr>
        <xdr:cNvPr id="7" name="TextBox 6"/>
        <xdr:cNvSpPr txBox="1"/>
      </xdr:nvSpPr>
      <xdr:spPr>
        <a:xfrm>
          <a:off x="9429750" y="136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200025</xdr:colOff>
      <xdr:row>48</xdr:row>
      <xdr:rowOff>180975</xdr:rowOff>
    </xdr:from>
    <xdr:to>
      <xdr:col>11</xdr:col>
      <xdr:colOff>514350</xdr:colOff>
      <xdr:row>50</xdr:row>
      <xdr:rowOff>38100</xdr:rowOff>
    </xdr:to>
    <xdr:sp macro="" textlink="">
      <xdr:nvSpPr>
        <xdr:cNvPr id="12" name="TextBox 11"/>
        <xdr:cNvSpPr txBox="1"/>
      </xdr:nvSpPr>
      <xdr:spPr>
        <a:xfrm>
          <a:off x="200025" y="10106025"/>
          <a:ext cx="7410450" cy="238125"/>
        </a:xfrm>
        <a:prstGeom prst="rect">
          <a:avLst/>
        </a:prstGeom>
        <a:solidFill>
          <a:srgbClr val="FDFDFD">
            <a:alpha val="77000"/>
          </a:srgbClr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tIns="18000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dk1"/>
              </a:solidFill>
              <a:effectLst/>
              <a:latin typeface="Franklin Gothic Book" pitchFamily="34" charset="0"/>
              <a:ea typeface="+mn-ea"/>
              <a:cs typeface="+mn-cs"/>
            </a:rPr>
            <a:t> </a:t>
          </a:r>
          <a:endParaRPr lang="en-GB" sz="1000">
            <a:effectLst/>
            <a:latin typeface="Franklin Gothic Book" pitchFamily="34" charset="0"/>
          </a:endParaRPr>
        </a:p>
        <a:p>
          <a:endParaRPr lang="en-GB" sz="1000">
            <a:latin typeface="Franklin Gothic Book" pitchFamily="34" charset="0"/>
          </a:endParaRPr>
        </a:p>
      </xdr:txBody>
    </xdr:sp>
    <xdr:clientData/>
  </xdr:twoCellAnchor>
  <xdr:twoCellAnchor>
    <xdr:from>
      <xdr:col>0</xdr:col>
      <xdr:colOff>0</xdr:colOff>
      <xdr:row>45</xdr:row>
      <xdr:rowOff>133350</xdr:rowOff>
    </xdr:from>
    <xdr:to>
      <xdr:col>21</xdr:col>
      <xdr:colOff>47625</xdr:colOff>
      <xdr:row>45</xdr:row>
      <xdr:rowOff>133350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>
          <a:off x="0" y="9486900"/>
          <a:ext cx="12887325" cy="0"/>
        </a:xfrm>
        <a:prstGeom prst="line">
          <a:avLst/>
        </a:prstGeom>
        <a:noFill/>
        <a:ln w="12700">
          <a:solidFill>
            <a:srgbClr val="808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</xdr:row>
      <xdr:rowOff>47625</xdr:rowOff>
    </xdr:from>
    <xdr:to>
      <xdr:col>8</xdr:col>
      <xdr:colOff>609600</xdr:colOff>
      <xdr:row>6</xdr:row>
      <xdr:rowOff>95250</xdr:rowOff>
    </xdr:to>
    <xdr:grpSp>
      <xdr:nvGrpSpPr>
        <xdr:cNvPr id="15" name="Group 14"/>
        <xdr:cNvGrpSpPr/>
      </xdr:nvGrpSpPr>
      <xdr:grpSpPr>
        <a:xfrm>
          <a:off x="19050" y="1190625"/>
          <a:ext cx="5372100" cy="619125"/>
          <a:chOff x="3977473" y="11269980"/>
          <a:chExt cx="1965264" cy="217542"/>
        </a:xfrm>
        <a:effectLst>
          <a:outerShdw blurRad="63500" sx="102000" sy="102000" algn="ctr" rotWithShape="0">
            <a:prstClr val="black">
              <a:alpha val="40000"/>
            </a:prstClr>
          </a:outerShdw>
        </a:effectLst>
      </xdr:grpSpPr>
      <xdr:sp macro="" textlink="$X$28">
        <xdr:nvSpPr>
          <xdr:cNvPr id="16" name="Rectangle 15"/>
          <xdr:cNvSpPr/>
        </xdr:nvSpPr>
        <xdr:spPr>
          <a:xfrm>
            <a:off x="5168423" y="11296629"/>
            <a:ext cx="774314" cy="190893"/>
          </a:xfrm>
          <a:prstGeom prst="rect">
            <a:avLst/>
          </a:prstGeom>
          <a:solidFill>
            <a:srgbClr val="808080"/>
          </a:solidFill>
          <a:ln w="6350">
            <a:solidFill>
              <a:schemeClr val="bg1">
                <a:lumMod val="85000"/>
              </a:schemeClr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tIns="0" rtlCol="0" anchor="ctr"/>
          <a:lstStyle/>
          <a:p>
            <a:pPr algn="ctr"/>
            <a:fld id="{21B45BEB-4F5D-4E04-B85F-640799177CB7}" type="TxLink">
              <a:rPr lang="en-US" sz="2800">
                <a:latin typeface="Franklin Gothic Demi Cond" pitchFamily="34" charset="0"/>
              </a:rPr>
              <a:pPr algn="ctr"/>
              <a:t> 164 </a:t>
            </a:fld>
            <a:endParaRPr lang="en-US" sz="2800">
              <a:latin typeface="Franklin Gothic Demi Cond" pitchFamily="34" charset="0"/>
            </a:endParaRPr>
          </a:p>
        </xdr:txBody>
      </xdr:sp>
      <xdr:sp macro="" textlink="">
        <xdr:nvSpPr>
          <xdr:cNvPr id="17" name="Rectangle 16"/>
          <xdr:cNvSpPr/>
        </xdr:nvSpPr>
        <xdr:spPr>
          <a:xfrm>
            <a:off x="3988773" y="11300436"/>
            <a:ext cx="1179650" cy="182898"/>
          </a:xfrm>
          <a:prstGeom prst="rect">
            <a:avLst/>
          </a:prstGeom>
          <a:solidFill>
            <a:srgbClr val="FFFFFF">
              <a:alpha val="85000"/>
            </a:srgbClr>
          </a:solidFill>
          <a:ln>
            <a:noFill/>
          </a:ln>
        </xdr:spPr>
        <xdr:style>
          <a:lnRef idx="2">
            <a:schemeClr val="accent1"/>
          </a:lnRef>
          <a:fillRef idx="1">
            <a:schemeClr val="bg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2400"/>
          </a:p>
        </xdr:txBody>
      </xdr:sp>
      <xdr:sp macro="" textlink="">
        <xdr:nvSpPr>
          <xdr:cNvPr id="18" name="TextBox 17"/>
          <xdr:cNvSpPr txBox="1"/>
        </xdr:nvSpPr>
        <xdr:spPr>
          <a:xfrm>
            <a:off x="3977473" y="11269980"/>
            <a:ext cx="1232221" cy="208677"/>
          </a:xfrm>
          <a:prstGeom prst="rect">
            <a:avLst/>
          </a:prstGeom>
          <a:noFill/>
          <a:ln w="9525" cmpd="sng">
            <a:noFill/>
          </a:ln>
          <a:effectLst>
            <a:glow rad="25400">
              <a:schemeClr val="bg1"/>
            </a:glow>
          </a:effectLst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180000" tIns="144000" rtlCol="0" anchor="t"/>
          <a:lstStyle/>
          <a:p>
            <a:r>
              <a:rPr lang="en-GB" sz="1400" b="0">
                <a:solidFill>
                  <a:schemeClr val="dk1"/>
                </a:solidFill>
                <a:effectLst/>
                <a:latin typeface="Franklin Gothic Medium Cond" pitchFamily="34" charset="0"/>
                <a:ea typeface="+mn-ea"/>
                <a:cs typeface="+mn-cs"/>
              </a:rPr>
              <a:t>Total number of Camps - Open</a:t>
            </a:r>
            <a:endParaRPr lang="en-GB" sz="1400">
              <a:effectLst/>
              <a:latin typeface="Franklin Gothic Medium Cond" pitchFamily="34" charset="0"/>
            </a:endParaRPr>
          </a:p>
        </xdr:txBody>
      </xdr:sp>
    </xdr:grpSp>
    <xdr:clientData/>
  </xdr:twoCellAnchor>
  <xdr:twoCellAnchor>
    <xdr:from>
      <xdr:col>0</xdr:col>
      <xdr:colOff>0</xdr:colOff>
      <xdr:row>46</xdr:row>
      <xdr:rowOff>38100</xdr:rowOff>
    </xdr:from>
    <xdr:to>
      <xdr:col>18</xdr:col>
      <xdr:colOff>552450</xdr:colOff>
      <xdr:row>48</xdr:row>
      <xdr:rowOff>9525</xdr:rowOff>
    </xdr:to>
    <xdr:grpSp>
      <xdr:nvGrpSpPr>
        <xdr:cNvPr id="19" name="Group 18"/>
        <xdr:cNvGrpSpPr/>
      </xdr:nvGrpSpPr>
      <xdr:grpSpPr>
        <a:xfrm>
          <a:off x="0" y="9582150"/>
          <a:ext cx="11915775" cy="352425"/>
          <a:chOff x="6083300" y="9207941"/>
          <a:chExt cx="6831854" cy="275870"/>
        </a:xfrm>
      </xdr:grpSpPr>
      <xdr:sp macro="" textlink="">
        <xdr:nvSpPr>
          <xdr:cNvPr id="20" name="TextBox 19"/>
          <xdr:cNvSpPr txBox="1"/>
        </xdr:nvSpPr>
        <xdr:spPr>
          <a:xfrm>
            <a:off x="6083300" y="9207941"/>
            <a:ext cx="3636254" cy="275870"/>
          </a:xfrm>
          <a:prstGeom prst="rect">
            <a:avLst/>
          </a:prstGeom>
          <a:solidFill>
            <a:srgbClr val="FDFDFD">
              <a:alpha val="77000"/>
            </a:srgbClr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tIns="18000" rtlCol="0" anchor="t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GB" sz="1000" baseline="0">
                <a:solidFill>
                  <a:schemeClr val="dk1"/>
                </a:solidFill>
                <a:effectLst/>
                <a:latin typeface="Franklin Gothic Book" pitchFamily="34" charset="0"/>
                <a:ea typeface="+mn-ea"/>
                <a:cs typeface="+mn-cs"/>
              </a:rPr>
              <a:t>Sources: UNHCR, Myamar Information Management Unit (MIMU), Other Humanitarian Organizations</a:t>
            </a:r>
            <a:endParaRPr lang="en-GB" sz="1000">
              <a:latin typeface="Franklin Gothic Book" pitchFamily="34" charset="0"/>
            </a:endParaRPr>
          </a:p>
        </xdr:txBody>
      </xdr:sp>
      <xdr:sp macro="" textlink="">
        <xdr:nvSpPr>
          <xdr:cNvPr id="21" name="TextBox 20"/>
          <xdr:cNvSpPr txBox="1">
            <a:spLocks/>
          </xdr:cNvSpPr>
        </xdr:nvSpPr>
        <xdr:spPr>
          <a:xfrm>
            <a:off x="9825448" y="9207941"/>
            <a:ext cx="1952202" cy="224075"/>
          </a:xfrm>
          <a:prstGeom prst="rect">
            <a:avLst/>
          </a:prstGeom>
          <a:solidFill>
            <a:srgbClr val="FDFDFD">
              <a:alpha val="92000"/>
            </a:srgbClr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tIns="0" rtlCol="0" anchor="t">
            <a:noAutofit/>
          </a:bodyPr>
          <a:lstStyle/>
          <a:p>
            <a:pPr algn="r"/>
            <a:r>
              <a:rPr lang="en-GB" sz="1200" baseline="0">
                <a:latin typeface="Franklin Gothic Medium Cond" pitchFamily="34" charset="0"/>
              </a:rPr>
              <a:t>For more information, contact</a:t>
            </a:r>
            <a:endParaRPr lang="en-GB" sz="1400">
              <a:latin typeface="Franklin Gothic Medium Cond" pitchFamily="34" charset="0"/>
            </a:endParaRPr>
          </a:p>
        </xdr:txBody>
      </xdr:sp>
      <xdr:sp macro="" textlink="">
        <xdr:nvSpPr>
          <xdr:cNvPr id="22" name="TextBox 21"/>
          <xdr:cNvSpPr txBox="1"/>
        </xdr:nvSpPr>
        <xdr:spPr>
          <a:xfrm>
            <a:off x="11769110" y="9207941"/>
            <a:ext cx="1146044" cy="202833"/>
          </a:xfrm>
          <a:prstGeom prst="rect">
            <a:avLst/>
          </a:prstGeom>
          <a:solidFill>
            <a:srgbClr val="FDFDFD">
              <a:alpha val="77000"/>
            </a:srgbClr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tIns="18000" rtlCol="0" anchor="t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GB" sz="1050" b="0" baseline="0">
                <a:solidFill>
                  <a:srgbClr val="0070C0"/>
                </a:solidFill>
                <a:effectLst/>
                <a:latin typeface="Franklin Gothic Demi" pitchFamily="34" charset="0"/>
                <a:ea typeface="+mn-ea"/>
                <a:cs typeface="+mn-cs"/>
              </a:rPr>
              <a:t>benson@unhcr.org</a:t>
            </a:r>
          </a:p>
        </xdr:txBody>
      </xdr:sp>
    </xdr:grpSp>
    <xdr:clientData/>
  </xdr:twoCellAnchor>
  <xdr:twoCellAnchor>
    <xdr:from>
      <xdr:col>13</xdr:col>
      <xdr:colOff>323850</xdr:colOff>
      <xdr:row>33</xdr:row>
      <xdr:rowOff>66675</xdr:rowOff>
    </xdr:from>
    <xdr:to>
      <xdr:col>14</xdr:col>
      <xdr:colOff>95250</xdr:colOff>
      <xdr:row>35</xdr:row>
      <xdr:rowOff>114300</xdr:rowOff>
    </xdr:to>
    <xdr:sp macro="" textlink="">
      <xdr:nvSpPr>
        <xdr:cNvPr id="23" name="Oval 22"/>
        <xdr:cNvSpPr/>
      </xdr:nvSpPr>
      <xdr:spPr>
        <a:xfrm>
          <a:off x="8639175" y="7134225"/>
          <a:ext cx="381000" cy="428625"/>
        </a:xfrm>
        <a:prstGeom prst="ellipse">
          <a:avLst/>
        </a:prstGeom>
        <a:noFill/>
        <a:ln w="25400">
          <a:solidFill>
            <a:schemeClr val="bg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bg1"/>
              </a:solidFill>
              <a:latin typeface="Arial Black" pitchFamily="34" charset="0"/>
            </a:rPr>
            <a:t>9</a:t>
          </a:r>
        </a:p>
      </xdr:txBody>
    </xdr:sp>
    <xdr:clientData/>
  </xdr:twoCellAnchor>
  <xdr:twoCellAnchor>
    <xdr:from>
      <xdr:col>11</xdr:col>
      <xdr:colOff>257175</xdr:colOff>
      <xdr:row>1</xdr:row>
      <xdr:rowOff>28575</xdr:rowOff>
    </xdr:from>
    <xdr:to>
      <xdr:col>18</xdr:col>
      <xdr:colOff>523875</xdr:colOff>
      <xdr:row>2</xdr:row>
      <xdr:rowOff>19050</xdr:rowOff>
    </xdr:to>
    <xdr:grpSp>
      <xdr:nvGrpSpPr>
        <xdr:cNvPr id="24" name="Group 23"/>
        <xdr:cNvGrpSpPr/>
      </xdr:nvGrpSpPr>
      <xdr:grpSpPr>
        <a:xfrm>
          <a:off x="7353300" y="485775"/>
          <a:ext cx="4533900" cy="447675"/>
          <a:chOff x="8584406" y="94693"/>
          <a:chExt cx="5024438" cy="409524"/>
        </a:xfrm>
      </xdr:grpSpPr>
      <xdr:pic>
        <xdr:nvPicPr>
          <xdr:cNvPr id="25" name="Picture 24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84406" y="94693"/>
            <a:ext cx="409492" cy="409524"/>
          </a:xfrm>
          <a:prstGeom prst="rect">
            <a:avLst/>
          </a:prstGeom>
          <a:ln>
            <a:noFill/>
          </a:ln>
        </xdr:spPr>
      </xdr:pic>
      <xdr:pic>
        <xdr:nvPicPr>
          <xdr:cNvPr id="26" name="Picture 25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25300" y="97662"/>
            <a:ext cx="399443" cy="400003"/>
          </a:xfrm>
          <a:prstGeom prst="rect">
            <a:avLst/>
          </a:prstGeom>
          <a:ln>
            <a:noFill/>
          </a:ln>
        </xdr:spPr>
      </xdr:pic>
      <xdr:pic>
        <xdr:nvPicPr>
          <xdr:cNvPr id="27" name="Picture 26"/>
          <xdr:cNvPicPr preferRelativeResize="1">
            <a:picLocks noChangeAspect="1"/>
          </xdr:cNvPicPr>
        </xdr:nvPicPr>
        <xdr:blipFill>
          <a:blip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464939" y="94693"/>
            <a:ext cx="409492" cy="409524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28" name="TextBox 1"/>
          <xdr:cNvSpPr txBox="1"/>
        </xdr:nvSpPr>
        <xdr:spPr>
          <a:xfrm>
            <a:off x="9929699" y="102986"/>
            <a:ext cx="3679145" cy="3929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20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Shelter/NFI/CCCM Cluster</a:t>
            </a:r>
          </a:p>
          <a:p>
            <a:r>
              <a:rPr lang="en-US" sz="20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 </a:t>
            </a:r>
          </a:p>
        </xdr:txBody>
      </xdr:sp>
    </xdr:grpSp>
    <xdr:clientData/>
  </xdr:twoCellAnchor>
  <xdr:twoCellAnchor>
    <xdr:from>
      <xdr:col>11</xdr:col>
      <xdr:colOff>476250</xdr:colOff>
      <xdr:row>5</xdr:row>
      <xdr:rowOff>76200</xdr:rowOff>
    </xdr:from>
    <xdr:to>
      <xdr:col>13</xdr:col>
      <xdr:colOff>28575</xdr:colOff>
      <xdr:row>6</xdr:row>
      <xdr:rowOff>142875</xdr:rowOff>
    </xdr:to>
    <xdr:sp macro="" textlink="">
      <xdr:nvSpPr>
        <xdr:cNvPr id="29" name="TextBox 28"/>
        <xdr:cNvSpPr txBox="1"/>
      </xdr:nvSpPr>
      <xdr:spPr>
        <a:xfrm>
          <a:off x="7572375" y="1600200"/>
          <a:ext cx="7715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>
              <a:solidFill>
                <a:schemeClr val="bg1"/>
              </a:solidFill>
            </a:rPr>
            <a:t>Maungdaw</a:t>
          </a:r>
        </a:p>
      </xdr:txBody>
    </xdr:sp>
    <xdr:clientData/>
  </xdr:twoCellAnchor>
  <xdr:twoCellAnchor>
    <xdr:from>
      <xdr:col>15</xdr:col>
      <xdr:colOff>114300</xdr:colOff>
      <xdr:row>22</xdr:row>
      <xdr:rowOff>28575</xdr:rowOff>
    </xdr:from>
    <xdr:to>
      <xdr:col>16</xdr:col>
      <xdr:colOff>314325</xdr:colOff>
      <xdr:row>23</xdr:row>
      <xdr:rowOff>95250</xdr:rowOff>
    </xdr:to>
    <xdr:sp macro="" textlink="">
      <xdr:nvSpPr>
        <xdr:cNvPr id="32" name="TextBox 31"/>
        <xdr:cNvSpPr txBox="1"/>
      </xdr:nvSpPr>
      <xdr:spPr>
        <a:xfrm>
          <a:off x="9648825" y="5000625"/>
          <a:ext cx="8096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>
              <a:solidFill>
                <a:schemeClr val="bg1"/>
              </a:solidFill>
            </a:rPr>
            <a:t>Pauktaw</a:t>
          </a:r>
        </a:p>
      </xdr:txBody>
    </xdr:sp>
    <xdr:clientData/>
  </xdr:twoCellAnchor>
  <xdr:twoCellAnchor>
    <xdr:from>
      <xdr:col>17</xdr:col>
      <xdr:colOff>57150</xdr:colOff>
      <xdr:row>17</xdr:row>
      <xdr:rowOff>161925</xdr:rowOff>
    </xdr:from>
    <xdr:to>
      <xdr:col>18</xdr:col>
      <xdr:colOff>257175</xdr:colOff>
      <xdr:row>19</xdr:row>
      <xdr:rowOff>19050</xdr:rowOff>
    </xdr:to>
    <xdr:sp macro="" textlink="">
      <xdr:nvSpPr>
        <xdr:cNvPr id="33" name="TextBox 32"/>
        <xdr:cNvSpPr txBox="1"/>
      </xdr:nvSpPr>
      <xdr:spPr>
        <a:xfrm>
          <a:off x="10810875" y="4143375"/>
          <a:ext cx="8096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>
              <a:solidFill>
                <a:schemeClr val="bg1"/>
              </a:solidFill>
            </a:rPr>
            <a:t>Minbya</a:t>
          </a:r>
        </a:p>
      </xdr:txBody>
    </xdr:sp>
    <xdr:clientData/>
  </xdr:twoCellAnchor>
  <xdr:twoCellAnchor>
    <xdr:from>
      <xdr:col>17</xdr:col>
      <xdr:colOff>190500</xdr:colOff>
      <xdr:row>21</xdr:row>
      <xdr:rowOff>104775</xdr:rowOff>
    </xdr:from>
    <xdr:to>
      <xdr:col>18</xdr:col>
      <xdr:colOff>390525</xdr:colOff>
      <xdr:row>22</xdr:row>
      <xdr:rowOff>171450</xdr:rowOff>
    </xdr:to>
    <xdr:sp macro="" textlink="">
      <xdr:nvSpPr>
        <xdr:cNvPr id="34" name="TextBox 33"/>
        <xdr:cNvSpPr txBox="1"/>
      </xdr:nvSpPr>
      <xdr:spPr>
        <a:xfrm>
          <a:off x="10944225" y="4886325"/>
          <a:ext cx="8096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>
              <a:solidFill>
                <a:schemeClr val="bg1"/>
              </a:solidFill>
            </a:rPr>
            <a:t>Myebon</a:t>
          </a:r>
        </a:p>
      </xdr:txBody>
    </xdr:sp>
    <xdr:clientData/>
  </xdr:twoCellAnchor>
  <xdr:twoCellAnchor>
    <xdr:from>
      <xdr:col>0</xdr:col>
      <xdr:colOff>0</xdr:colOff>
      <xdr:row>10</xdr:row>
      <xdr:rowOff>57150</xdr:rowOff>
    </xdr:from>
    <xdr:to>
      <xdr:col>9</xdr:col>
      <xdr:colOff>819150</xdr:colOff>
      <xdr:row>27</xdr:row>
      <xdr:rowOff>0</xdr:rowOff>
    </xdr:to>
    <xdr:graphicFrame macro="">
      <xdr:nvGraphicFramePr>
        <xdr:cNvPr id="37" name="Chart 36"/>
        <xdr:cNvGraphicFramePr/>
      </xdr:nvGraphicFramePr>
      <xdr:xfrm>
        <a:off x="0" y="2638425"/>
        <a:ext cx="6438900" cy="3286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85725</xdr:colOff>
      <xdr:row>11</xdr:row>
      <xdr:rowOff>76200</xdr:rowOff>
    </xdr:from>
    <xdr:to>
      <xdr:col>18</xdr:col>
      <xdr:colOff>590550</xdr:colOff>
      <xdr:row>21</xdr:row>
      <xdr:rowOff>85725</xdr:rowOff>
    </xdr:to>
    <xdr:graphicFrame macro="">
      <xdr:nvGraphicFramePr>
        <xdr:cNvPr id="38" name="Chart 37"/>
        <xdr:cNvGraphicFramePr/>
      </xdr:nvGraphicFramePr>
      <xdr:xfrm>
        <a:off x="7181850" y="2857500"/>
        <a:ext cx="4772025" cy="2009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</xdr:colOff>
      <xdr:row>28</xdr:row>
      <xdr:rowOff>28575</xdr:rowOff>
    </xdr:from>
    <xdr:to>
      <xdr:col>11</xdr:col>
      <xdr:colOff>209550</xdr:colOff>
      <xdr:row>45</xdr:row>
      <xdr:rowOff>114300</xdr:rowOff>
    </xdr:to>
    <xdr:graphicFrame macro="">
      <xdr:nvGraphicFramePr>
        <xdr:cNvPr id="43" name="Chart 42"/>
        <xdr:cNvGraphicFramePr/>
      </xdr:nvGraphicFramePr>
      <xdr:xfrm>
        <a:off x="28575" y="6143625"/>
        <a:ext cx="7277100" cy="3324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209550</xdr:colOff>
      <xdr:row>22</xdr:row>
      <xdr:rowOff>19050</xdr:rowOff>
    </xdr:from>
    <xdr:to>
      <xdr:col>19</xdr:col>
      <xdr:colOff>342900</xdr:colOff>
      <xdr:row>44</xdr:row>
      <xdr:rowOff>104775</xdr:rowOff>
    </xdr:to>
    <xdr:graphicFrame macro="">
      <xdr:nvGraphicFramePr>
        <xdr:cNvPr id="45" name="Chart 44"/>
        <xdr:cNvGraphicFramePr/>
      </xdr:nvGraphicFramePr>
      <xdr:xfrm>
        <a:off x="7305675" y="4991100"/>
        <a:ext cx="4667250" cy="4276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371475</xdr:colOff>
      <xdr:row>0</xdr:row>
      <xdr:rowOff>361950</xdr:rowOff>
    </xdr:to>
    <xdr:sp macro="" textlink="">
      <xdr:nvSpPr>
        <xdr:cNvPr id="46" name="Rounded Rectangle 45">
          <a:hlinkClick r:id="rId8"/>
        </xdr:cNvPr>
        <xdr:cNvSpPr/>
      </xdr:nvSpPr>
      <xdr:spPr>
        <a:xfrm>
          <a:off x="0" y="0"/>
          <a:ext cx="1638300" cy="361950"/>
        </a:xfrm>
        <a:prstGeom prst="roundRect">
          <a:avLst/>
        </a:prstGeom>
        <a:ln>
          <a:solidFill>
            <a:schemeClr val="accent6">
              <a:lumMod val="60000"/>
              <a:lumOff val="40000"/>
            </a:schemeClr>
          </a:solidFill>
          <a:headEnd type="none"/>
          <a:tailEnd type="non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Home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35</xdr:col>
          <xdr:colOff>342900</xdr:colOff>
          <xdr:row>29</xdr:row>
          <xdr:rowOff>0</xdr:rowOff>
        </xdr:from>
        <xdr:to>
          <xdr:col>39</xdr:col>
          <xdr:colOff>152400</xdr:colOff>
          <xdr:row>32</xdr:row>
          <xdr:rowOff>76200</xdr:rowOff>
        </xdr:to>
        <xdr:sp macro="" textlink="">
          <xdr:nvSpPr>
            <xdr:cNvPr id="17409" name="Button 1" hidden="1">
              <a:extLst xmlns:a="http://schemas.openxmlformats.org/drawingml/2006/main">
                <a:ext uri="{63B3BB69-23CF-44E3-9099-C40C66FF867C}">
                  <a14:compatExt spid="_x0000_s17409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27432" rIns="27432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Calculate</a:t>
              </a:r>
            </a:p>
          </xdr:txBody>
        </xdr:sp>
        <xdr:clientData fPrintsWithSheet="0"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</xdr:col>
      <xdr:colOff>619125</xdr:colOff>
      <xdr:row>0</xdr:row>
      <xdr:rowOff>381000</xdr:rowOff>
    </xdr:to>
    <xdr:sp macro="" textlink="">
      <xdr:nvSpPr>
        <xdr:cNvPr id="2" name="Rounded Rectangle 1">
          <a:hlinkClick r:id="rId1"/>
        </xdr:cNvPr>
        <xdr:cNvSpPr/>
      </xdr:nvSpPr>
      <xdr:spPr>
        <a:xfrm>
          <a:off x="19050" y="19050"/>
          <a:ext cx="1647825" cy="361950"/>
        </a:xfrm>
        <a:prstGeom prst="roundRect">
          <a:avLst/>
        </a:prstGeom>
        <a:ln>
          <a:solidFill>
            <a:schemeClr val="accent6">
              <a:lumMod val="60000"/>
              <a:lumOff val="40000"/>
            </a:schemeClr>
          </a:solidFill>
          <a:headEnd type="none"/>
          <a:tailEnd type="non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Home</a:t>
          </a:r>
        </a:p>
      </xdr:txBody>
    </xdr:sp>
    <xdr:clientData/>
  </xdr:twoCellAnchor>
  <xdr:twoCellAnchor>
    <xdr:from>
      <xdr:col>1</xdr:col>
      <xdr:colOff>704850</xdr:colOff>
      <xdr:row>0</xdr:row>
      <xdr:rowOff>19050</xdr:rowOff>
    </xdr:from>
    <xdr:to>
      <xdr:col>2</xdr:col>
      <xdr:colOff>1200150</xdr:colOff>
      <xdr:row>0</xdr:row>
      <xdr:rowOff>381000</xdr:rowOff>
    </xdr:to>
    <xdr:sp macro="" textlink="">
      <xdr:nvSpPr>
        <xdr:cNvPr id="3" name="Rounded Rectangle 2">
          <a:hlinkClick r:id="rId2"/>
        </xdr:cNvPr>
        <xdr:cNvSpPr/>
      </xdr:nvSpPr>
      <xdr:spPr>
        <a:xfrm>
          <a:off x="1752600" y="19050"/>
          <a:ext cx="1647825" cy="361950"/>
        </a:xfrm>
        <a:prstGeom prst="roundRect">
          <a:avLst/>
        </a:prstGeom>
        <a:ln>
          <a:solidFill>
            <a:schemeClr val="accent6">
              <a:lumMod val="60000"/>
              <a:lumOff val="40000"/>
            </a:schemeClr>
          </a:solidFill>
          <a:headEnd type="none"/>
          <a:tailEnd type="non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 b="0"/>
            <a:t>Shelter</a:t>
          </a:r>
          <a:r>
            <a:rPr lang="en-US" sz="1100" b="1" baseline="0"/>
            <a:t>  Progress</a:t>
          </a:r>
          <a:endParaRPr lang="en-US" sz="1100" b="1"/>
        </a:p>
      </xdr:txBody>
    </xdr:sp>
    <xdr:clientData/>
  </xdr:twoCellAnchor>
  <xdr:twoCellAnchor>
    <xdr:from>
      <xdr:col>9</xdr:col>
      <xdr:colOff>352425</xdr:colOff>
      <xdr:row>0</xdr:row>
      <xdr:rowOff>457200</xdr:rowOff>
    </xdr:from>
    <xdr:to>
      <xdr:col>15</xdr:col>
      <xdr:colOff>704850</xdr:colOff>
      <xdr:row>1</xdr:row>
      <xdr:rowOff>447675</xdr:rowOff>
    </xdr:to>
    <xdr:grpSp>
      <xdr:nvGrpSpPr>
        <xdr:cNvPr id="9" name="Group 8"/>
        <xdr:cNvGrpSpPr/>
      </xdr:nvGrpSpPr>
      <xdr:grpSpPr>
        <a:xfrm>
          <a:off x="10572750" y="457200"/>
          <a:ext cx="5143500" cy="447675"/>
          <a:chOff x="8584406" y="94693"/>
          <a:chExt cx="5024438" cy="409524"/>
        </a:xfrm>
      </xdr:grpSpPr>
      <xdr:pic>
        <xdr:nvPicPr>
          <xdr:cNvPr id="10" name="Picture 9"/>
          <xdr:cNvPicPr preferRelativeResize="1">
            <a:picLocks noChangeAspect="1"/>
          </xdr:cNvPicPr>
        </xdr:nvPicPr>
        <xdr:blipFill>
          <a:blip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84406" y="94693"/>
            <a:ext cx="409492" cy="409524"/>
          </a:xfrm>
          <a:prstGeom prst="rect">
            <a:avLst/>
          </a:prstGeom>
          <a:ln>
            <a:noFill/>
          </a:ln>
        </xdr:spPr>
      </xdr:pic>
      <xdr:pic>
        <xdr:nvPicPr>
          <xdr:cNvPr id="11" name="Picture 10"/>
          <xdr:cNvPicPr preferRelativeResize="1">
            <a:picLocks noChangeAspect="1"/>
          </xdr:cNvPicPr>
        </xdr:nvPicPr>
        <xdr:blipFill>
          <a:blip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25300" y="97662"/>
            <a:ext cx="399443" cy="400003"/>
          </a:xfrm>
          <a:prstGeom prst="rect">
            <a:avLst/>
          </a:prstGeom>
          <a:ln>
            <a:noFill/>
          </a:ln>
        </xdr:spPr>
      </xdr:pic>
      <xdr:pic>
        <xdr:nvPicPr>
          <xdr:cNvPr id="12" name="Picture 11"/>
          <xdr:cNvPicPr preferRelativeResize="1">
            <a:picLocks noChangeAspect="1"/>
          </xdr:cNvPicPr>
        </xdr:nvPicPr>
        <xdr:blipFill>
          <a:blip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464939" y="94693"/>
            <a:ext cx="409492" cy="409524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13" name="TextBox 1"/>
          <xdr:cNvSpPr txBox="1"/>
        </xdr:nvSpPr>
        <xdr:spPr>
          <a:xfrm>
            <a:off x="9929699" y="102986"/>
            <a:ext cx="3679145" cy="3929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20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Shelter/NFI/CCCM Cluster</a:t>
            </a:r>
          </a:p>
          <a:p>
            <a:r>
              <a:rPr lang="en-US" sz="20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 </a:t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123825</xdr:colOff>
      <xdr:row>0</xdr:row>
      <xdr:rowOff>409575</xdr:rowOff>
    </xdr:to>
    <xdr:sp macro="" textlink="">
      <xdr:nvSpPr>
        <xdr:cNvPr id="2" name="Rounded Rectangle 1">
          <a:hlinkClick r:id="rId1"/>
        </xdr:cNvPr>
        <xdr:cNvSpPr/>
      </xdr:nvSpPr>
      <xdr:spPr>
        <a:xfrm>
          <a:off x="19050" y="0"/>
          <a:ext cx="1400175" cy="409575"/>
        </a:xfrm>
        <a:prstGeom prst="roundRect">
          <a:avLst/>
        </a:prstGeom>
        <a:ln>
          <a:solidFill>
            <a:schemeClr val="accent6">
              <a:lumMod val="60000"/>
              <a:lumOff val="40000"/>
            </a:schemeClr>
          </a:solidFill>
          <a:headEnd type="none"/>
          <a:tailEnd type="non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Home</a:t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5</xdr:col>
      <xdr:colOff>428625</xdr:colOff>
      <xdr:row>0</xdr:row>
      <xdr:rowOff>438150</xdr:rowOff>
    </xdr:to>
    <xdr:sp macro="" textlink="">
      <xdr:nvSpPr>
        <xdr:cNvPr id="3" name="Rounded Rectangle 2">
          <a:hlinkClick r:id="rId2"/>
        </xdr:cNvPr>
        <xdr:cNvSpPr/>
      </xdr:nvSpPr>
      <xdr:spPr>
        <a:xfrm>
          <a:off x="5181600" y="0"/>
          <a:ext cx="1628775" cy="438150"/>
        </a:xfrm>
        <a:prstGeom prst="roundRect">
          <a:avLst/>
        </a:prstGeom>
        <a:ln>
          <a:solidFill>
            <a:schemeClr val="accent6">
              <a:lumMod val="60000"/>
              <a:lumOff val="40000"/>
            </a:schemeClr>
          </a:solidFill>
          <a:headEnd type="none"/>
          <a:tailEnd type="non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Shelter</a:t>
          </a:r>
          <a:r>
            <a:rPr lang="en-US" sz="1100" b="1" baseline="0"/>
            <a:t> Detail Sheet</a:t>
          </a:r>
          <a:endParaRPr lang="en-US" sz="1100" b="1"/>
        </a:p>
      </xdr:txBody>
    </xdr:sp>
    <xdr:clientData/>
  </xdr:twoCellAnchor>
  <xdr:twoCellAnchor>
    <xdr:from>
      <xdr:col>7</xdr:col>
      <xdr:colOff>171450</xdr:colOff>
      <xdr:row>45</xdr:row>
      <xdr:rowOff>57150</xdr:rowOff>
    </xdr:from>
    <xdr:to>
      <xdr:col>16</xdr:col>
      <xdr:colOff>9525</xdr:colOff>
      <xdr:row>64</xdr:row>
      <xdr:rowOff>28575</xdr:rowOff>
    </xdr:to>
    <xdr:graphicFrame macro="">
      <xdr:nvGraphicFramePr>
        <xdr:cNvPr id="5" name="Chart 4"/>
        <xdr:cNvGraphicFramePr/>
      </xdr:nvGraphicFramePr>
      <xdr:xfrm>
        <a:off x="8382000" y="14706600"/>
        <a:ext cx="8096250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200025</xdr:colOff>
      <xdr:row>0</xdr:row>
      <xdr:rowOff>0</xdr:rowOff>
    </xdr:from>
    <xdr:to>
      <xdr:col>3</xdr:col>
      <xdr:colOff>381000</xdr:colOff>
      <xdr:row>0</xdr:row>
      <xdr:rowOff>438150</xdr:rowOff>
    </xdr:to>
    <xdr:sp macro="" textlink="">
      <xdr:nvSpPr>
        <xdr:cNvPr id="6" name="Rounded Rectangle 5">
          <a:hlinkClick r:id="rId4"/>
        </xdr:cNvPr>
        <xdr:cNvSpPr/>
      </xdr:nvSpPr>
      <xdr:spPr>
        <a:xfrm>
          <a:off x="1495425" y="0"/>
          <a:ext cx="3543300" cy="438150"/>
        </a:xfrm>
        <a:prstGeom prst="roundRect">
          <a:avLst/>
        </a:prstGeom>
        <a:ln>
          <a:solidFill>
            <a:schemeClr val="accent6">
              <a:lumMod val="60000"/>
              <a:lumOff val="40000"/>
            </a:schemeClr>
          </a:solidFill>
          <a:headEnd type="none"/>
          <a:tailEnd type="non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Shelter </a:t>
          </a:r>
          <a:r>
            <a:rPr lang="en-US" sz="1100" b="1" baseline="0"/>
            <a:t> by Agency</a:t>
          </a:r>
          <a:endParaRPr lang="en-US" sz="1100" b="1"/>
        </a:p>
      </xdr:txBody>
    </xdr:sp>
    <xdr:clientData/>
  </xdr:twoCellAnchor>
  <xdr:twoCellAnchor>
    <xdr:from>
      <xdr:col>5</xdr:col>
      <xdr:colOff>95250</xdr:colOff>
      <xdr:row>70</xdr:row>
      <xdr:rowOff>9525</xdr:rowOff>
    </xdr:from>
    <xdr:to>
      <xdr:col>15</xdr:col>
      <xdr:colOff>0</xdr:colOff>
      <xdr:row>87</xdr:row>
      <xdr:rowOff>171450</xdr:rowOff>
    </xdr:to>
    <xdr:graphicFrame macro="">
      <xdr:nvGraphicFramePr>
        <xdr:cNvPr id="8" name="Chart 7"/>
        <xdr:cNvGraphicFramePr/>
      </xdr:nvGraphicFramePr>
      <xdr:xfrm>
        <a:off x="6477000" y="19631025"/>
        <a:ext cx="9991725" cy="3400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57150</xdr:colOff>
      <xdr:row>45</xdr:row>
      <xdr:rowOff>66675</xdr:rowOff>
    </xdr:from>
    <xdr:to>
      <xdr:col>7</xdr:col>
      <xdr:colOff>152400</xdr:colOff>
      <xdr:row>64</xdr:row>
      <xdr:rowOff>47625</xdr:rowOff>
    </xdr:to>
    <xdr:graphicFrame macro="">
      <xdr:nvGraphicFramePr>
        <xdr:cNvPr id="9" name="Chart 8"/>
        <xdr:cNvGraphicFramePr/>
      </xdr:nvGraphicFramePr>
      <xdr:xfrm>
        <a:off x="57150" y="14716125"/>
        <a:ext cx="8305800" cy="3600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70</xdr:row>
      <xdr:rowOff>9525</xdr:rowOff>
    </xdr:from>
    <xdr:to>
      <xdr:col>5</xdr:col>
      <xdr:colOff>57150</xdr:colOff>
      <xdr:row>87</xdr:row>
      <xdr:rowOff>180975</xdr:rowOff>
    </xdr:to>
    <xdr:graphicFrame macro="">
      <xdr:nvGraphicFramePr>
        <xdr:cNvPr id="10" name="Chart 9"/>
        <xdr:cNvGraphicFramePr/>
      </xdr:nvGraphicFramePr>
      <xdr:xfrm>
        <a:off x="0" y="19631025"/>
        <a:ext cx="6438900" cy="3409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590550</xdr:colOff>
      <xdr:row>1</xdr:row>
      <xdr:rowOff>0</xdr:rowOff>
    </xdr:from>
    <xdr:to>
      <xdr:col>15</xdr:col>
      <xdr:colOff>0</xdr:colOff>
      <xdr:row>1</xdr:row>
      <xdr:rowOff>457200</xdr:rowOff>
    </xdr:to>
    <xdr:grpSp>
      <xdr:nvGrpSpPr>
        <xdr:cNvPr id="11" name="Group 10"/>
        <xdr:cNvGrpSpPr/>
      </xdr:nvGrpSpPr>
      <xdr:grpSpPr>
        <a:xfrm>
          <a:off x="10096500" y="457200"/>
          <a:ext cx="6372225" cy="457200"/>
          <a:chOff x="8584406" y="94693"/>
          <a:chExt cx="5024438" cy="409524"/>
        </a:xfrm>
      </xdr:grpSpPr>
      <xdr:pic>
        <xdr:nvPicPr>
          <xdr:cNvPr id="12" name="Picture 11"/>
          <xdr:cNvPicPr preferRelativeResize="1">
            <a:picLocks noChangeAspect="1"/>
          </xdr:cNvPicPr>
        </xdr:nvPicPr>
        <xdr:blipFill>
          <a:blip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84406" y="94693"/>
            <a:ext cx="409492" cy="409524"/>
          </a:xfrm>
          <a:prstGeom prst="rect">
            <a:avLst/>
          </a:prstGeom>
          <a:ln>
            <a:noFill/>
          </a:ln>
        </xdr:spPr>
      </xdr:pic>
      <xdr:pic>
        <xdr:nvPicPr>
          <xdr:cNvPr id="13" name="Picture 12"/>
          <xdr:cNvPicPr preferRelativeResize="1">
            <a:picLocks noChangeAspect="1"/>
          </xdr:cNvPicPr>
        </xdr:nvPicPr>
        <xdr:blipFill>
          <a:blip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25300" y="97662"/>
            <a:ext cx="399443" cy="400003"/>
          </a:xfrm>
          <a:prstGeom prst="rect">
            <a:avLst/>
          </a:prstGeom>
          <a:ln>
            <a:noFill/>
          </a:ln>
        </xdr:spPr>
      </xdr:pic>
      <xdr:pic>
        <xdr:nvPicPr>
          <xdr:cNvPr id="14" name="Picture 13"/>
          <xdr:cNvPicPr preferRelativeResize="1">
            <a:picLocks noChangeAspect="1"/>
          </xdr:cNvPicPr>
        </xdr:nvPicPr>
        <xdr:blipFill>
          <a:blip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464939" y="94693"/>
            <a:ext cx="409492" cy="409524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15" name="TextBox 1"/>
          <xdr:cNvSpPr txBox="1"/>
        </xdr:nvSpPr>
        <xdr:spPr>
          <a:xfrm>
            <a:off x="9929699" y="102986"/>
            <a:ext cx="3679145" cy="3929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20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Shelter/NFI/CCCM Cluster</a:t>
            </a:r>
          </a:p>
          <a:p>
            <a:r>
              <a:rPr lang="en-US" sz="20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 </a:t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1295400</xdr:colOff>
      <xdr:row>1</xdr:row>
      <xdr:rowOff>0</xdr:rowOff>
    </xdr:to>
    <xdr:sp macro="" textlink="">
      <xdr:nvSpPr>
        <xdr:cNvPr id="2" name="Rounded Rectangle 1">
          <a:hlinkClick r:id="rId1"/>
        </xdr:cNvPr>
        <xdr:cNvSpPr/>
      </xdr:nvSpPr>
      <xdr:spPr>
        <a:xfrm>
          <a:off x="28575" y="19050"/>
          <a:ext cx="1266825" cy="438150"/>
        </a:xfrm>
        <a:prstGeom prst="roundRect">
          <a:avLst/>
        </a:prstGeom>
        <a:ln>
          <a:solidFill>
            <a:schemeClr val="accent6">
              <a:lumMod val="60000"/>
              <a:lumOff val="40000"/>
            </a:schemeClr>
          </a:solidFill>
          <a:headEnd type="none"/>
          <a:tailEnd type="non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Home</a:t>
          </a:r>
        </a:p>
      </xdr:txBody>
    </xdr:sp>
    <xdr:clientData/>
  </xdr:twoCellAnchor>
  <xdr:twoCellAnchor>
    <xdr:from>
      <xdr:col>1</xdr:col>
      <xdr:colOff>1266825</xdr:colOff>
      <xdr:row>0</xdr:row>
      <xdr:rowOff>19050</xdr:rowOff>
    </xdr:from>
    <xdr:to>
      <xdr:col>2</xdr:col>
      <xdr:colOff>1000125</xdr:colOff>
      <xdr:row>0</xdr:row>
      <xdr:rowOff>457200</xdr:rowOff>
    </xdr:to>
    <xdr:sp macro="" textlink="">
      <xdr:nvSpPr>
        <xdr:cNvPr id="3" name="Rounded Rectangle 2">
          <a:hlinkClick r:id="rId2"/>
        </xdr:cNvPr>
        <xdr:cNvSpPr/>
      </xdr:nvSpPr>
      <xdr:spPr>
        <a:xfrm>
          <a:off x="2562225" y="19050"/>
          <a:ext cx="1838325" cy="438150"/>
        </a:xfrm>
        <a:prstGeom prst="roundRect">
          <a:avLst/>
        </a:prstGeom>
        <a:ln>
          <a:solidFill>
            <a:schemeClr val="accent6">
              <a:lumMod val="60000"/>
              <a:lumOff val="40000"/>
            </a:schemeClr>
          </a:solidFill>
          <a:headEnd type="none"/>
          <a:tailEnd type="non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 b="1" baseline="0"/>
            <a:t>Shelter  Detail Sheet</a:t>
          </a:r>
          <a:endParaRPr lang="en-US" sz="1100" b="1"/>
        </a:p>
      </xdr:txBody>
    </xdr:sp>
    <xdr:clientData/>
  </xdr:twoCellAnchor>
  <xdr:twoCellAnchor>
    <xdr:from>
      <xdr:col>0</xdr:col>
      <xdr:colOff>1295400</xdr:colOff>
      <xdr:row>0</xdr:row>
      <xdr:rowOff>19050</xdr:rowOff>
    </xdr:from>
    <xdr:to>
      <xdr:col>1</xdr:col>
      <xdr:colOff>1190625</xdr:colOff>
      <xdr:row>0</xdr:row>
      <xdr:rowOff>457200</xdr:rowOff>
    </xdr:to>
    <xdr:sp macro="" textlink="">
      <xdr:nvSpPr>
        <xdr:cNvPr id="5" name="Rounded Rectangle 4">
          <a:hlinkClick r:id="rId3"/>
        </xdr:cNvPr>
        <xdr:cNvSpPr/>
      </xdr:nvSpPr>
      <xdr:spPr>
        <a:xfrm>
          <a:off x="1295400" y="19050"/>
          <a:ext cx="1190625" cy="438150"/>
        </a:xfrm>
        <a:prstGeom prst="roundRect">
          <a:avLst/>
        </a:prstGeom>
        <a:ln>
          <a:solidFill>
            <a:schemeClr val="accent6">
              <a:lumMod val="60000"/>
              <a:lumOff val="40000"/>
            </a:schemeClr>
          </a:solidFill>
          <a:headEnd type="none"/>
          <a:tailEnd type="non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 b="1" baseline="0"/>
            <a:t>Shelter Progress</a:t>
          </a:r>
          <a:endParaRPr lang="en-US" sz="1100" b="1"/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5</xdr:col>
      <xdr:colOff>666750</xdr:colOff>
      <xdr:row>1</xdr:row>
      <xdr:rowOff>457200</xdr:rowOff>
    </xdr:to>
    <xdr:grpSp>
      <xdr:nvGrpSpPr>
        <xdr:cNvPr id="6" name="Group 5"/>
        <xdr:cNvGrpSpPr/>
      </xdr:nvGrpSpPr>
      <xdr:grpSpPr>
        <a:xfrm>
          <a:off x="6743700" y="457200"/>
          <a:ext cx="6038850" cy="457200"/>
          <a:chOff x="8584406" y="94693"/>
          <a:chExt cx="5024438" cy="409524"/>
        </a:xfrm>
      </xdr:grpSpPr>
      <xdr:pic>
        <xdr:nvPicPr>
          <xdr:cNvPr id="7" name="Picture 6"/>
          <xdr:cNvPicPr preferRelativeResize="1">
            <a:picLocks noChangeAspect="1"/>
          </xdr:cNvPicPr>
        </xdr:nvPicPr>
        <xdr:blipFill>
          <a:blip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84406" y="94693"/>
            <a:ext cx="409492" cy="409524"/>
          </a:xfrm>
          <a:prstGeom prst="rect">
            <a:avLst/>
          </a:prstGeom>
          <a:ln>
            <a:noFill/>
          </a:ln>
        </xdr:spPr>
      </xdr:pic>
      <xdr:pic>
        <xdr:nvPicPr>
          <xdr:cNvPr id="8" name="Picture 7"/>
          <xdr:cNvPicPr preferRelativeResize="1">
            <a:picLocks noChangeAspect="1"/>
          </xdr:cNvPicPr>
        </xdr:nvPicPr>
        <xdr:blipFill>
          <a:blip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25300" y="97662"/>
            <a:ext cx="399443" cy="400003"/>
          </a:xfrm>
          <a:prstGeom prst="rect">
            <a:avLst/>
          </a:prstGeom>
          <a:ln>
            <a:noFill/>
          </a:ln>
        </xdr:spPr>
      </xdr:pic>
      <xdr:pic>
        <xdr:nvPicPr>
          <xdr:cNvPr id="9" name="Picture 8"/>
          <xdr:cNvPicPr preferRelativeResize="1">
            <a:picLocks noChangeAspect="1"/>
          </xdr:cNvPicPr>
        </xdr:nvPicPr>
        <xdr:blipFill>
          <a:blip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464939" y="94693"/>
            <a:ext cx="409492" cy="409524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10" name="TextBox 1"/>
          <xdr:cNvSpPr txBox="1"/>
        </xdr:nvSpPr>
        <xdr:spPr>
          <a:xfrm>
            <a:off x="9929699" y="102986"/>
            <a:ext cx="3679145" cy="3929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20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Shelter/NFI/CCCM Cluster</a:t>
            </a:r>
          </a:p>
          <a:p>
            <a:r>
              <a:rPr lang="en-US" sz="20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 </a:t>
            </a:r>
          </a:p>
        </xdr:txBody>
      </xdr:sp>
    </xdr:grpSp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0.009</cdr:y>
    </cdr:from>
    <cdr:to>
      <cdr:x>0</cdr:x>
      <cdr:y>0</cdr:y>
    </cdr:to>
    <cdr:sp macro="" textlink="">
      <cdr:nvSpPr>
        <cdr:cNvPr id="2" name="TextBox 3"/>
        <cdr:cNvSpPr txBox="1">
          <a:spLocks/>
        </cdr:cNvSpPr>
      </cdr:nvSpPr>
      <cdr:spPr>
        <a:xfrm>
          <a:off x="0" y="19050"/>
          <a:ext cx="0" cy="0"/>
        </a:xfrm>
        <a:prstGeom prst="rect">
          <a:avLst/>
        </a:prstGeom>
        <a:solidFill>
          <a:srgbClr val="FFFFFF">
            <a:alpha val="70000"/>
          </a:srgbClr>
        </a:solidFill>
        <a:ln w="9525" cmpd="sng">
          <a:noFill/>
        </a:ln>
        <a:effectLst>
          <a:outerShdw blurRad="88900" dist="25400" dir="5400000" algn="t" rotWithShape="0">
            <a:prstClr val="black">
              <a:alpha val="11000"/>
            </a:prstClr>
          </a:outerShdw>
        </a:effectLst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tIns="0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400" baseline="0">
              <a:latin typeface="Franklin Gothic Medium Cond" pitchFamily="34" charset="0"/>
            </a:rPr>
            <a:t>Coverage by Temp. Shelter (# of HH)</a:t>
          </a:r>
          <a:endParaRPr lang="en-GB" sz="1400">
            <a:latin typeface="Franklin Gothic Medium Cond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0.009</cdr:y>
    </cdr:from>
    <cdr:to>
      <cdr:x>0</cdr:x>
      <cdr:y>0</cdr:y>
    </cdr:to>
    <cdr:sp macro="" textlink="">
      <cdr:nvSpPr>
        <cdr:cNvPr id="3" name="TextBox 3"/>
        <cdr:cNvSpPr txBox="1">
          <a:spLocks/>
        </cdr:cNvSpPr>
      </cdr:nvSpPr>
      <cdr:spPr>
        <a:xfrm>
          <a:off x="0" y="19050"/>
          <a:ext cx="0" cy="0"/>
        </a:xfrm>
        <a:prstGeom prst="rect">
          <a:avLst/>
        </a:prstGeom>
        <a:solidFill>
          <a:srgbClr val="FFFFFF">
            <a:alpha val="70000"/>
          </a:srgbClr>
        </a:solidFill>
        <a:ln w="9525" cmpd="sng">
          <a:noFill/>
        </a:ln>
        <a:effectLst>
          <a:outerShdw blurRad="88900" dist="25400" dir="5400000" algn="t" rotWithShape="0">
            <a:prstClr val="black">
              <a:alpha val="11000"/>
            </a:prstClr>
          </a:outerShdw>
        </a:effectLst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tIns="0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400" baseline="0">
              <a:latin typeface="Franklin Gothic Medium Cond" pitchFamily="34" charset="0"/>
            </a:rPr>
            <a:t>Coverage by Temp. Shelter (# of HH)</a:t>
          </a:r>
          <a:endParaRPr lang="en-GB" sz="1400">
            <a:latin typeface="Franklin Gothic Medium Cond" pitchFamily="34" charset="0"/>
          </a:endParaRP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4" name="TextBox 3"/>
        <cdr:cNvSpPr txBox="1"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>
            <a:alpha val="70000"/>
          </a:srgbClr>
        </a:solidFill>
        <a:ln w="9525" cmpd="sng">
          <a:noFill/>
        </a:ln>
        <a:effectLst>
          <a:outerShdw blurRad="88900" dist="25400" dir="5400000" algn="t" rotWithShape="0">
            <a:prstClr val="black">
              <a:alpha val="11000"/>
            </a:prstClr>
          </a:outerShdw>
        </a:effectLst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tIns="0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400" baseline="0">
              <a:latin typeface="Franklin Gothic Medium Cond" pitchFamily="34" charset="0"/>
            </a:rPr>
            <a:t>Overall Shelter Situation</a:t>
          </a:r>
          <a:endParaRPr lang="en-GB" sz="1400">
            <a:latin typeface="Franklin Gothic Medium Cond" pitchFamily="34" charset="0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4" name="TextBox 3"/>
        <cdr:cNvSpPr txBox="1"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>
            <a:alpha val="70000"/>
          </a:srgbClr>
        </a:solidFill>
        <a:ln w="9525" cmpd="sng">
          <a:noFill/>
        </a:ln>
        <a:effectLst>
          <a:outerShdw blurRad="88900" dist="25400" dir="5400000" algn="t" rotWithShape="0">
            <a:prstClr val="black">
              <a:alpha val="11000"/>
            </a:prstClr>
          </a:outerShdw>
        </a:effectLst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tIns="0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400" baseline="0">
              <a:latin typeface="Franklin Gothic Medium Cond" pitchFamily="34" charset="0"/>
            </a:rPr>
            <a:t>Shelter coverage by township (# of people)</a:t>
          </a:r>
          <a:endParaRPr lang="en-GB" sz="1400">
            <a:latin typeface="Franklin Gothic Medium Cond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0</xdr:row>
      <xdr:rowOff>0</xdr:rowOff>
    </xdr:from>
    <xdr:to>
      <xdr:col>3</xdr:col>
      <xdr:colOff>257175</xdr:colOff>
      <xdr:row>0</xdr:row>
      <xdr:rowOff>361950</xdr:rowOff>
    </xdr:to>
    <xdr:sp macro="" textlink="">
      <xdr:nvSpPr>
        <xdr:cNvPr id="2" name="Rounded Rectangle 1">
          <a:hlinkClick r:id="rId1"/>
        </xdr:cNvPr>
        <xdr:cNvSpPr/>
      </xdr:nvSpPr>
      <xdr:spPr>
        <a:xfrm>
          <a:off x="1657350" y="0"/>
          <a:ext cx="1162050" cy="361950"/>
        </a:xfrm>
        <a:prstGeom prst="roundRect">
          <a:avLst/>
        </a:prstGeom>
        <a:ln>
          <a:solidFill>
            <a:schemeClr val="accent6">
              <a:lumMod val="60000"/>
              <a:lumOff val="40000"/>
            </a:schemeClr>
          </a:solidFill>
          <a:headEnd type="none"/>
          <a:tailEnd type="non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Camp Analysis</a:t>
          </a:r>
        </a:p>
      </xdr:txBody>
    </xdr:sp>
    <xdr:clientData/>
  </xdr:twoCellAnchor>
  <xdr:twoCellAnchor>
    <xdr:from>
      <xdr:col>0</xdr:col>
      <xdr:colOff>95250</xdr:colOff>
      <xdr:row>0</xdr:row>
      <xdr:rowOff>19050</xdr:rowOff>
    </xdr:from>
    <xdr:to>
      <xdr:col>1</xdr:col>
      <xdr:colOff>790575</xdr:colOff>
      <xdr:row>0</xdr:row>
      <xdr:rowOff>381000</xdr:rowOff>
    </xdr:to>
    <xdr:sp macro="" textlink="">
      <xdr:nvSpPr>
        <xdr:cNvPr id="3" name="Rounded Rectangle 2">
          <a:hlinkClick r:id="rId2"/>
        </xdr:cNvPr>
        <xdr:cNvSpPr/>
      </xdr:nvSpPr>
      <xdr:spPr>
        <a:xfrm>
          <a:off x="95250" y="19050"/>
          <a:ext cx="1428750" cy="361950"/>
        </a:xfrm>
        <a:prstGeom prst="roundRect">
          <a:avLst/>
        </a:prstGeom>
        <a:ln>
          <a:solidFill>
            <a:schemeClr val="accent6">
              <a:lumMod val="60000"/>
              <a:lumOff val="40000"/>
            </a:schemeClr>
          </a:solidFill>
          <a:headEnd type="none"/>
          <a:tailEnd type="non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Home</a:t>
          </a:r>
        </a:p>
      </xdr:txBody>
    </xdr:sp>
    <xdr:clientData/>
  </xdr:twoCellAnchor>
  <xdr:twoCellAnchor>
    <xdr:from>
      <xdr:col>5</xdr:col>
      <xdr:colOff>523875</xdr:colOff>
      <xdr:row>1</xdr:row>
      <xdr:rowOff>47625</xdr:rowOff>
    </xdr:from>
    <xdr:to>
      <xdr:col>8</xdr:col>
      <xdr:colOff>0</xdr:colOff>
      <xdr:row>2</xdr:row>
      <xdr:rowOff>0</xdr:rowOff>
    </xdr:to>
    <xdr:grpSp>
      <xdr:nvGrpSpPr>
        <xdr:cNvPr id="14" name="Group 13"/>
        <xdr:cNvGrpSpPr/>
      </xdr:nvGrpSpPr>
      <xdr:grpSpPr>
        <a:xfrm>
          <a:off x="6610350" y="504825"/>
          <a:ext cx="4762500" cy="409575"/>
          <a:chOff x="8584406" y="94693"/>
          <a:chExt cx="5024438" cy="409524"/>
        </a:xfrm>
      </xdr:grpSpPr>
      <xdr:pic>
        <xdr:nvPicPr>
          <xdr:cNvPr id="15" name="Picture 14"/>
          <xdr:cNvPicPr preferRelativeResize="1">
            <a:picLocks noChangeAspect="1"/>
          </xdr:cNvPicPr>
        </xdr:nvPicPr>
        <xdr:blipFill>
          <a:blip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84406" y="94693"/>
            <a:ext cx="409492" cy="409524"/>
          </a:xfrm>
          <a:prstGeom prst="rect">
            <a:avLst/>
          </a:prstGeom>
          <a:ln>
            <a:noFill/>
          </a:ln>
        </xdr:spPr>
      </xdr:pic>
      <xdr:pic>
        <xdr:nvPicPr>
          <xdr:cNvPr id="16" name="Picture 15"/>
          <xdr:cNvPicPr preferRelativeResize="1">
            <a:picLocks noChangeAspect="1"/>
          </xdr:cNvPicPr>
        </xdr:nvPicPr>
        <xdr:blipFill>
          <a:blip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25300" y="97662"/>
            <a:ext cx="399443" cy="400003"/>
          </a:xfrm>
          <a:prstGeom prst="rect">
            <a:avLst/>
          </a:prstGeom>
          <a:ln>
            <a:noFill/>
          </a:ln>
        </xdr:spPr>
      </xdr:pic>
      <xdr:pic>
        <xdr:nvPicPr>
          <xdr:cNvPr id="17" name="Picture 16"/>
          <xdr:cNvPicPr preferRelativeResize="1">
            <a:picLocks noChangeAspect="1"/>
          </xdr:cNvPicPr>
        </xdr:nvPicPr>
        <xdr:blipFill>
          <a:blip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464939" y="94693"/>
            <a:ext cx="409492" cy="409524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18" name="TextBox 1"/>
          <xdr:cNvSpPr txBox="1"/>
        </xdr:nvSpPr>
        <xdr:spPr>
          <a:xfrm>
            <a:off x="9929699" y="102986"/>
            <a:ext cx="3679145" cy="3929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20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Shelter/NFI/CCCM Cluster</a:t>
            </a:r>
          </a:p>
          <a:p>
            <a:r>
              <a:rPr lang="en-US" sz="20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 </a:t>
            </a: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1038225</xdr:colOff>
      <xdr:row>1</xdr:row>
      <xdr:rowOff>447675</xdr:rowOff>
    </xdr:from>
    <xdr:to>
      <xdr:col>28</xdr:col>
      <xdr:colOff>1438275</xdr:colOff>
      <xdr:row>41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07050" y="904875"/>
          <a:ext cx="4962525" cy="78581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19050</xdr:colOff>
      <xdr:row>6</xdr:row>
      <xdr:rowOff>142875</xdr:rowOff>
    </xdr:from>
    <xdr:to>
      <xdr:col>8</xdr:col>
      <xdr:colOff>609600</xdr:colOff>
      <xdr:row>9</xdr:row>
      <xdr:rowOff>47625</xdr:rowOff>
    </xdr:to>
    <xdr:grpSp>
      <xdr:nvGrpSpPr>
        <xdr:cNvPr id="3" name="Group 2"/>
        <xdr:cNvGrpSpPr/>
      </xdr:nvGrpSpPr>
      <xdr:grpSpPr>
        <a:xfrm>
          <a:off x="19050" y="1857375"/>
          <a:ext cx="5372100" cy="581025"/>
          <a:chOff x="3977473" y="11269980"/>
          <a:chExt cx="1965263" cy="217553"/>
        </a:xfrm>
        <a:effectLst>
          <a:outerShdw blurRad="63500" sx="102000" sy="102000" algn="ctr" rotWithShape="0">
            <a:prstClr val="black">
              <a:alpha val="40000"/>
            </a:prstClr>
          </a:outerShdw>
        </a:effectLst>
      </xdr:grpSpPr>
      <xdr:sp macro="" textlink="">
        <xdr:nvSpPr>
          <xdr:cNvPr id="4" name="Rectangle 3"/>
          <xdr:cNvSpPr/>
        </xdr:nvSpPr>
        <xdr:spPr>
          <a:xfrm>
            <a:off x="3988773" y="11300437"/>
            <a:ext cx="1348662" cy="182908"/>
          </a:xfrm>
          <a:prstGeom prst="rect">
            <a:avLst/>
          </a:prstGeom>
          <a:solidFill>
            <a:srgbClr val="FFFFFF">
              <a:alpha val="85000"/>
            </a:srgbClr>
          </a:solidFill>
          <a:ln>
            <a:noFill/>
          </a:ln>
        </xdr:spPr>
        <xdr:style>
          <a:lnRef idx="2">
            <a:schemeClr val="accent1"/>
          </a:lnRef>
          <a:fillRef idx="1">
            <a:schemeClr val="bg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2400"/>
          </a:p>
        </xdr:txBody>
      </xdr:sp>
      <xdr:sp macro="" textlink="">
        <xdr:nvSpPr>
          <xdr:cNvPr id="5" name="TextBox 4"/>
          <xdr:cNvSpPr txBox="1"/>
        </xdr:nvSpPr>
        <xdr:spPr>
          <a:xfrm>
            <a:off x="3977473" y="11269980"/>
            <a:ext cx="1294617" cy="208688"/>
          </a:xfrm>
          <a:prstGeom prst="rect">
            <a:avLst/>
          </a:prstGeom>
          <a:noFill/>
          <a:ln w="9525" cmpd="sng">
            <a:noFill/>
          </a:ln>
          <a:effectLst>
            <a:glow rad="25400">
              <a:schemeClr val="bg1"/>
            </a:glow>
          </a:effectLst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180000" tIns="144000" rtlCol="0" anchor="t"/>
          <a:lstStyle/>
          <a:p>
            <a:r>
              <a:rPr lang="en-GB" sz="1400" b="0">
                <a:solidFill>
                  <a:schemeClr val="dk1"/>
                </a:solidFill>
                <a:effectLst/>
                <a:latin typeface="Franklin Gothic Medium Cond" pitchFamily="34" charset="0"/>
                <a:ea typeface="+mn-ea"/>
                <a:cs typeface="+mn-cs"/>
              </a:rPr>
              <a:t>Total Estimated</a:t>
            </a:r>
            <a:r>
              <a:rPr lang="en-GB" sz="1400" b="0" baseline="0">
                <a:solidFill>
                  <a:schemeClr val="dk1"/>
                </a:solidFill>
                <a:effectLst/>
                <a:latin typeface="Franklin Gothic Medium Cond" pitchFamily="34" charset="0"/>
                <a:ea typeface="+mn-ea"/>
                <a:cs typeface="+mn-cs"/>
              </a:rPr>
              <a:t> number </a:t>
            </a:r>
            <a:r>
              <a:rPr lang="en-GB" sz="1400" b="0">
                <a:solidFill>
                  <a:schemeClr val="dk1"/>
                </a:solidFill>
                <a:effectLst/>
                <a:latin typeface="Franklin Gothic Medium Cond" pitchFamily="34" charset="0"/>
                <a:ea typeface="+mn-ea"/>
                <a:cs typeface="+mn-cs"/>
              </a:rPr>
              <a:t>IDP Population</a:t>
            </a:r>
            <a:endParaRPr lang="en-GB" sz="1400">
              <a:effectLst/>
              <a:latin typeface="Franklin Gothic Medium Cond" pitchFamily="34" charset="0"/>
            </a:endParaRPr>
          </a:p>
        </xdr:txBody>
      </xdr:sp>
      <xdr:sp macro="" textlink="$X$18">
        <xdr:nvSpPr>
          <xdr:cNvPr id="6" name="Rectangle 5"/>
          <xdr:cNvSpPr/>
        </xdr:nvSpPr>
        <xdr:spPr>
          <a:xfrm>
            <a:off x="5172844" y="11296630"/>
            <a:ext cx="769892" cy="190903"/>
          </a:xfrm>
          <a:prstGeom prst="rect">
            <a:avLst/>
          </a:prstGeom>
          <a:solidFill>
            <a:srgbClr val="808080"/>
          </a:solidFill>
          <a:ln w="6350">
            <a:solidFill>
              <a:schemeClr val="bg1">
                <a:lumMod val="85000"/>
              </a:schemeClr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tIns="0" rtlCol="0" anchor="ctr"/>
          <a:lstStyle/>
          <a:p>
            <a:pPr algn="ctr"/>
            <a:fld id="{C0502561-E1DE-41E5-A71A-4508D3262DE4}" type="TxLink">
              <a:rPr lang="en-US" sz="2800">
                <a:latin typeface="Franklin Gothic Demi Cond" pitchFamily="34" charset="0"/>
              </a:rPr>
              <a:pPr algn="ctr"/>
              <a:t> 139,416 </a:t>
            </a:fld>
            <a:endParaRPr lang="en-US" sz="2800">
              <a:latin typeface="Franklin Gothic Demi Cond" pitchFamily="34" charset="0"/>
            </a:endParaRPr>
          </a:p>
        </xdr:txBody>
      </xdr:sp>
    </xdr:grpSp>
    <xdr:clientData/>
  </xdr:twoCellAnchor>
  <xdr:oneCellAnchor>
    <xdr:from>
      <xdr:col>7</xdr:col>
      <xdr:colOff>504825</xdr:colOff>
      <xdr:row>11</xdr:row>
      <xdr:rowOff>28575</xdr:rowOff>
    </xdr:from>
    <xdr:ext cx="180975" cy="266700"/>
    <xdr:sp macro="" textlink="">
      <xdr:nvSpPr>
        <xdr:cNvPr id="7" name="TextBox 6"/>
        <xdr:cNvSpPr txBox="1"/>
      </xdr:nvSpPr>
      <xdr:spPr>
        <a:xfrm>
          <a:off x="4714875" y="280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200025</xdr:colOff>
      <xdr:row>48</xdr:row>
      <xdr:rowOff>180975</xdr:rowOff>
    </xdr:from>
    <xdr:to>
      <xdr:col>11</xdr:col>
      <xdr:colOff>514350</xdr:colOff>
      <xdr:row>50</xdr:row>
      <xdr:rowOff>38100</xdr:rowOff>
    </xdr:to>
    <xdr:sp macro="" textlink="">
      <xdr:nvSpPr>
        <xdr:cNvPr id="12" name="TextBox 11"/>
        <xdr:cNvSpPr txBox="1"/>
      </xdr:nvSpPr>
      <xdr:spPr>
        <a:xfrm>
          <a:off x="200025" y="10106025"/>
          <a:ext cx="7153275" cy="238125"/>
        </a:xfrm>
        <a:prstGeom prst="rect">
          <a:avLst/>
        </a:prstGeom>
        <a:solidFill>
          <a:srgbClr val="FDFDFD">
            <a:alpha val="77000"/>
          </a:srgbClr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tIns="18000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dk1"/>
              </a:solidFill>
              <a:effectLst/>
              <a:latin typeface="Franklin Gothic Book" pitchFamily="34" charset="0"/>
              <a:ea typeface="+mn-ea"/>
              <a:cs typeface="+mn-cs"/>
            </a:rPr>
            <a:t> </a:t>
          </a:r>
          <a:endParaRPr lang="en-GB" sz="1000">
            <a:effectLst/>
            <a:latin typeface="Franklin Gothic Book" pitchFamily="34" charset="0"/>
          </a:endParaRPr>
        </a:p>
        <a:p>
          <a:endParaRPr lang="en-GB" sz="1000">
            <a:latin typeface="Franklin Gothic Book" pitchFamily="34" charset="0"/>
          </a:endParaRPr>
        </a:p>
      </xdr:txBody>
    </xdr:sp>
    <xdr:clientData/>
  </xdr:twoCellAnchor>
  <xdr:twoCellAnchor>
    <xdr:from>
      <xdr:col>0</xdr:col>
      <xdr:colOff>0</xdr:colOff>
      <xdr:row>48</xdr:row>
      <xdr:rowOff>57150</xdr:rowOff>
    </xdr:from>
    <xdr:to>
      <xdr:col>10</xdr:col>
      <xdr:colOff>457200</xdr:colOff>
      <xdr:row>50</xdr:row>
      <xdr:rowOff>66675</xdr:rowOff>
    </xdr:to>
    <xdr:sp macro="" textlink="">
      <xdr:nvSpPr>
        <xdr:cNvPr id="14" name="TextBox 13"/>
        <xdr:cNvSpPr txBox="1"/>
      </xdr:nvSpPr>
      <xdr:spPr>
        <a:xfrm>
          <a:off x="0" y="9982200"/>
          <a:ext cx="6686550" cy="390525"/>
        </a:xfrm>
        <a:prstGeom prst="rect">
          <a:avLst/>
        </a:prstGeom>
        <a:solidFill>
          <a:srgbClr val="FDFDFD">
            <a:alpha val="77000"/>
          </a:srgbClr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tIns="18000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>
            <a:latin typeface="Franklin Gothic Book" pitchFamily="34" charset="0"/>
          </a:endParaRPr>
        </a:p>
      </xdr:txBody>
    </xdr:sp>
    <xdr:clientData/>
  </xdr:twoCellAnchor>
  <xdr:twoCellAnchor>
    <xdr:from>
      <xdr:col>0</xdr:col>
      <xdr:colOff>19050</xdr:colOff>
      <xdr:row>3</xdr:row>
      <xdr:rowOff>47625</xdr:rowOff>
    </xdr:from>
    <xdr:to>
      <xdr:col>8</xdr:col>
      <xdr:colOff>609600</xdr:colOff>
      <xdr:row>6</xdr:row>
      <xdr:rowOff>95250</xdr:rowOff>
    </xdr:to>
    <xdr:grpSp>
      <xdr:nvGrpSpPr>
        <xdr:cNvPr id="15" name="Group 14"/>
        <xdr:cNvGrpSpPr/>
      </xdr:nvGrpSpPr>
      <xdr:grpSpPr>
        <a:xfrm>
          <a:off x="19050" y="1190625"/>
          <a:ext cx="5372100" cy="619125"/>
          <a:chOff x="3977473" y="11269980"/>
          <a:chExt cx="1965264" cy="217542"/>
        </a:xfrm>
        <a:effectLst>
          <a:outerShdw blurRad="63500" sx="102000" sy="102000" algn="ctr" rotWithShape="0">
            <a:prstClr val="black">
              <a:alpha val="40000"/>
            </a:prstClr>
          </a:outerShdw>
        </a:effectLst>
      </xdr:grpSpPr>
      <xdr:sp macro="" textlink="$Y$18">
        <xdr:nvSpPr>
          <xdr:cNvPr id="16" name="Rectangle 15"/>
          <xdr:cNvSpPr/>
        </xdr:nvSpPr>
        <xdr:spPr>
          <a:xfrm>
            <a:off x="5168423" y="11296629"/>
            <a:ext cx="774314" cy="190893"/>
          </a:xfrm>
          <a:prstGeom prst="rect">
            <a:avLst/>
          </a:prstGeom>
          <a:solidFill>
            <a:srgbClr val="808080"/>
          </a:solidFill>
          <a:ln w="6350">
            <a:solidFill>
              <a:schemeClr val="bg1">
                <a:lumMod val="85000"/>
              </a:schemeClr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tIns="0" rtlCol="0" anchor="ctr"/>
          <a:lstStyle/>
          <a:p>
            <a:pPr algn="ctr"/>
            <a:fld id="{744D5399-C8A3-47F6-8A72-A166A41918F8}" type="TxLink">
              <a:rPr lang="en-US" sz="2800">
                <a:latin typeface="Franklin Gothic Demi Cond" pitchFamily="34" charset="0"/>
              </a:rPr>
              <a:pPr algn="ctr"/>
              <a:t> 76 </a:t>
            </a:fld>
            <a:endParaRPr lang="en-US" sz="2800">
              <a:latin typeface="Franklin Gothic Demi Cond" pitchFamily="34" charset="0"/>
            </a:endParaRPr>
          </a:p>
        </xdr:txBody>
      </xdr:sp>
      <xdr:sp macro="" textlink="">
        <xdr:nvSpPr>
          <xdr:cNvPr id="17" name="Rectangle 16"/>
          <xdr:cNvSpPr/>
        </xdr:nvSpPr>
        <xdr:spPr>
          <a:xfrm>
            <a:off x="3988773" y="11300436"/>
            <a:ext cx="1179650" cy="182898"/>
          </a:xfrm>
          <a:prstGeom prst="rect">
            <a:avLst/>
          </a:prstGeom>
          <a:solidFill>
            <a:srgbClr val="FFFFFF">
              <a:alpha val="85000"/>
            </a:srgbClr>
          </a:solidFill>
          <a:ln>
            <a:noFill/>
          </a:ln>
        </xdr:spPr>
        <xdr:style>
          <a:lnRef idx="2">
            <a:schemeClr val="accent1"/>
          </a:lnRef>
          <a:fillRef idx="1">
            <a:schemeClr val="bg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2400"/>
          </a:p>
        </xdr:txBody>
      </xdr:sp>
      <xdr:sp macro="" textlink="">
        <xdr:nvSpPr>
          <xdr:cNvPr id="18" name="TextBox 17"/>
          <xdr:cNvSpPr txBox="1"/>
        </xdr:nvSpPr>
        <xdr:spPr>
          <a:xfrm>
            <a:off x="3977473" y="11269980"/>
            <a:ext cx="1232221" cy="208677"/>
          </a:xfrm>
          <a:prstGeom prst="rect">
            <a:avLst/>
          </a:prstGeom>
          <a:noFill/>
          <a:ln w="9525" cmpd="sng">
            <a:noFill/>
          </a:ln>
          <a:effectLst>
            <a:glow rad="25400">
              <a:schemeClr val="bg1"/>
            </a:glow>
          </a:effectLst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180000" tIns="144000" rtlCol="0" anchor="t"/>
          <a:lstStyle/>
          <a:p>
            <a:r>
              <a:rPr lang="en-GB" sz="1400" b="0">
                <a:solidFill>
                  <a:schemeClr val="dk1"/>
                </a:solidFill>
                <a:effectLst/>
                <a:latin typeface="Franklin Gothic Medium Cond" pitchFamily="34" charset="0"/>
                <a:ea typeface="+mn-ea"/>
                <a:cs typeface="+mn-cs"/>
              </a:rPr>
              <a:t>Total number of Camps</a:t>
            </a:r>
            <a:endParaRPr lang="en-GB" sz="1400">
              <a:effectLst/>
              <a:latin typeface="Franklin Gothic Medium Cond" pitchFamily="34" charset="0"/>
            </a:endParaRPr>
          </a:p>
        </xdr:txBody>
      </xdr:sp>
    </xdr:grpSp>
    <xdr:clientData/>
  </xdr:twoCellAnchor>
  <xdr:twoCellAnchor>
    <xdr:from>
      <xdr:col>0</xdr:col>
      <xdr:colOff>0</xdr:colOff>
      <xdr:row>46</xdr:row>
      <xdr:rowOff>38100</xdr:rowOff>
    </xdr:from>
    <xdr:to>
      <xdr:col>18</xdr:col>
      <xdr:colOff>552450</xdr:colOff>
      <xdr:row>48</xdr:row>
      <xdr:rowOff>9525</xdr:rowOff>
    </xdr:to>
    <xdr:grpSp>
      <xdr:nvGrpSpPr>
        <xdr:cNvPr id="19" name="Group 18"/>
        <xdr:cNvGrpSpPr/>
      </xdr:nvGrpSpPr>
      <xdr:grpSpPr>
        <a:xfrm>
          <a:off x="0" y="9582150"/>
          <a:ext cx="11658600" cy="352425"/>
          <a:chOff x="6083300" y="9207941"/>
          <a:chExt cx="6831854" cy="275870"/>
        </a:xfrm>
      </xdr:grpSpPr>
      <xdr:sp macro="" textlink="">
        <xdr:nvSpPr>
          <xdr:cNvPr id="20" name="TextBox 19"/>
          <xdr:cNvSpPr txBox="1"/>
        </xdr:nvSpPr>
        <xdr:spPr>
          <a:xfrm>
            <a:off x="6083300" y="9207941"/>
            <a:ext cx="3636254" cy="275870"/>
          </a:xfrm>
          <a:prstGeom prst="rect">
            <a:avLst/>
          </a:prstGeom>
          <a:solidFill>
            <a:srgbClr val="FDFDFD">
              <a:alpha val="77000"/>
            </a:srgbClr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tIns="18000" rtlCol="0" anchor="t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GB" sz="1000" baseline="0">
                <a:solidFill>
                  <a:schemeClr val="dk1"/>
                </a:solidFill>
                <a:effectLst/>
                <a:latin typeface="Franklin Gothic Book" pitchFamily="34" charset="0"/>
                <a:ea typeface="+mn-ea"/>
                <a:cs typeface="+mn-cs"/>
              </a:rPr>
              <a:t>Sources: UNHCR, Myamar Information Management Unit (MIMU), Other Humanitarian Organizations</a:t>
            </a:r>
            <a:endParaRPr lang="en-GB" sz="1000">
              <a:latin typeface="Franklin Gothic Book" pitchFamily="34" charset="0"/>
            </a:endParaRPr>
          </a:p>
        </xdr:txBody>
      </xdr:sp>
      <xdr:sp macro="" textlink="">
        <xdr:nvSpPr>
          <xdr:cNvPr id="21" name="TextBox 20"/>
          <xdr:cNvSpPr txBox="1">
            <a:spLocks/>
          </xdr:cNvSpPr>
        </xdr:nvSpPr>
        <xdr:spPr>
          <a:xfrm>
            <a:off x="9825448" y="9207941"/>
            <a:ext cx="1952202" cy="224075"/>
          </a:xfrm>
          <a:prstGeom prst="rect">
            <a:avLst/>
          </a:prstGeom>
          <a:solidFill>
            <a:srgbClr val="FDFDFD">
              <a:alpha val="92000"/>
            </a:srgbClr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tIns="0" rtlCol="0" anchor="t">
            <a:noAutofit/>
          </a:bodyPr>
          <a:lstStyle/>
          <a:p>
            <a:pPr algn="r"/>
            <a:r>
              <a:rPr lang="en-GB" sz="1200" baseline="0">
                <a:latin typeface="Franklin Gothic Medium Cond" pitchFamily="34" charset="0"/>
              </a:rPr>
              <a:t>For more information, contact</a:t>
            </a:r>
            <a:endParaRPr lang="en-GB" sz="1400">
              <a:latin typeface="Franklin Gothic Medium Cond" pitchFamily="34" charset="0"/>
            </a:endParaRPr>
          </a:p>
        </xdr:txBody>
      </xdr:sp>
      <xdr:sp macro="" textlink="">
        <xdr:nvSpPr>
          <xdr:cNvPr id="22" name="TextBox 21"/>
          <xdr:cNvSpPr txBox="1"/>
        </xdr:nvSpPr>
        <xdr:spPr>
          <a:xfrm>
            <a:off x="11769110" y="9207941"/>
            <a:ext cx="1146044" cy="202833"/>
          </a:xfrm>
          <a:prstGeom prst="rect">
            <a:avLst/>
          </a:prstGeom>
          <a:solidFill>
            <a:srgbClr val="FDFDFD">
              <a:alpha val="77000"/>
            </a:srgbClr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tIns="18000" rtlCol="0" anchor="t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GB" sz="1050" b="0" baseline="0">
                <a:solidFill>
                  <a:srgbClr val="0070C0"/>
                </a:solidFill>
                <a:effectLst/>
                <a:latin typeface="Franklin Gothic Demi" pitchFamily="34" charset="0"/>
                <a:ea typeface="+mn-ea"/>
                <a:cs typeface="+mn-cs"/>
              </a:rPr>
              <a:t>benson@unhcr.org</a:t>
            </a:r>
          </a:p>
        </xdr:txBody>
      </xdr:sp>
    </xdr:grpSp>
    <xdr:clientData/>
  </xdr:twoCellAnchor>
  <xdr:twoCellAnchor>
    <xdr:from>
      <xdr:col>13</xdr:col>
      <xdr:colOff>323850</xdr:colOff>
      <xdr:row>33</xdr:row>
      <xdr:rowOff>66675</xdr:rowOff>
    </xdr:from>
    <xdr:to>
      <xdr:col>14</xdr:col>
      <xdr:colOff>95250</xdr:colOff>
      <xdr:row>35</xdr:row>
      <xdr:rowOff>114300</xdr:rowOff>
    </xdr:to>
    <xdr:sp macro="" textlink="">
      <xdr:nvSpPr>
        <xdr:cNvPr id="23" name="Oval 22"/>
        <xdr:cNvSpPr/>
      </xdr:nvSpPr>
      <xdr:spPr>
        <a:xfrm>
          <a:off x="8382000" y="7134225"/>
          <a:ext cx="381000" cy="428625"/>
        </a:xfrm>
        <a:prstGeom prst="ellipse">
          <a:avLst/>
        </a:prstGeom>
        <a:noFill/>
        <a:ln w="25400">
          <a:solidFill>
            <a:schemeClr val="bg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bg1"/>
              </a:solidFill>
              <a:latin typeface="Arial Black" pitchFamily="34" charset="0"/>
            </a:rPr>
            <a:t>9</a:t>
          </a:r>
        </a:p>
      </xdr:txBody>
    </xdr:sp>
    <xdr:clientData/>
  </xdr:twoCellAnchor>
  <xdr:twoCellAnchor>
    <xdr:from>
      <xdr:col>11</xdr:col>
      <xdr:colOff>476250</xdr:colOff>
      <xdr:row>5</xdr:row>
      <xdr:rowOff>76200</xdr:rowOff>
    </xdr:from>
    <xdr:to>
      <xdr:col>13</xdr:col>
      <xdr:colOff>28575</xdr:colOff>
      <xdr:row>6</xdr:row>
      <xdr:rowOff>142875</xdr:rowOff>
    </xdr:to>
    <xdr:sp macro="" textlink="">
      <xdr:nvSpPr>
        <xdr:cNvPr id="29" name="TextBox 28"/>
        <xdr:cNvSpPr txBox="1"/>
      </xdr:nvSpPr>
      <xdr:spPr>
        <a:xfrm>
          <a:off x="7315200" y="1600200"/>
          <a:ext cx="7715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>
              <a:solidFill>
                <a:schemeClr val="bg1"/>
              </a:solidFill>
            </a:rPr>
            <a:t>Maungdaw</a:t>
          </a:r>
        </a:p>
      </xdr:txBody>
    </xdr:sp>
    <xdr:clientData/>
  </xdr:twoCellAnchor>
  <xdr:twoCellAnchor>
    <xdr:from>
      <xdr:col>14</xdr:col>
      <xdr:colOff>285750</xdr:colOff>
      <xdr:row>9</xdr:row>
      <xdr:rowOff>123825</xdr:rowOff>
    </xdr:from>
    <xdr:to>
      <xdr:col>15</xdr:col>
      <xdr:colOff>485775</xdr:colOff>
      <xdr:row>10</xdr:row>
      <xdr:rowOff>190500</xdr:rowOff>
    </xdr:to>
    <xdr:sp macro="" textlink="">
      <xdr:nvSpPr>
        <xdr:cNvPr id="30" name="TextBox 29"/>
        <xdr:cNvSpPr txBox="1"/>
      </xdr:nvSpPr>
      <xdr:spPr>
        <a:xfrm>
          <a:off x="8953500" y="2514600"/>
          <a:ext cx="8096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>
              <a:solidFill>
                <a:schemeClr val="bg1"/>
              </a:solidFill>
            </a:rPr>
            <a:t>Kyauktaw</a:t>
          </a:r>
        </a:p>
      </xdr:txBody>
    </xdr:sp>
    <xdr:clientData/>
  </xdr:twoCellAnchor>
  <xdr:twoCellAnchor>
    <xdr:from>
      <xdr:col>15</xdr:col>
      <xdr:colOff>438150</xdr:colOff>
      <xdr:row>13</xdr:row>
      <xdr:rowOff>28575</xdr:rowOff>
    </xdr:from>
    <xdr:to>
      <xdr:col>17</xdr:col>
      <xdr:colOff>0</xdr:colOff>
      <xdr:row>14</xdr:row>
      <xdr:rowOff>85725</xdr:rowOff>
    </xdr:to>
    <xdr:sp macro="" textlink="">
      <xdr:nvSpPr>
        <xdr:cNvPr id="31" name="TextBox 30"/>
        <xdr:cNvSpPr txBox="1"/>
      </xdr:nvSpPr>
      <xdr:spPr>
        <a:xfrm>
          <a:off x="9715500" y="3209925"/>
          <a:ext cx="7810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>
              <a:solidFill>
                <a:schemeClr val="bg1"/>
              </a:solidFill>
            </a:rPr>
            <a:t>Mrauk-U</a:t>
          </a:r>
        </a:p>
      </xdr:txBody>
    </xdr:sp>
    <xdr:clientData/>
  </xdr:twoCellAnchor>
  <xdr:twoCellAnchor>
    <xdr:from>
      <xdr:col>15</xdr:col>
      <xdr:colOff>114300</xdr:colOff>
      <xdr:row>22</xdr:row>
      <xdr:rowOff>28575</xdr:rowOff>
    </xdr:from>
    <xdr:to>
      <xdr:col>16</xdr:col>
      <xdr:colOff>314325</xdr:colOff>
      <xdr:row>23</xdr:row>
      <xdr:rowOff>95250</xdr:rowOff>
    </xdr:to>
    <xdr:sp macro="" textlink="">
      <xdr:nvSpPr>
        <xdr:cNvPr id="32" name="TextBox 31"/>
        <xdr:cNvSpPr txBox="1"/>
      </xdr:nvSpPr>
      <xdr:spPr>
        <a:xfrm>
          <a:off x="9391650" y="5000625"/>
          <a:ext cx="8096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>
              <a:solidFill>
                <a:schemeClr val="bg1"/>
              </a:solidFill>
            </a:rPr>
            <a:t>Pauktaw</a:t>
          </a:r>
        </a:p>
      </xdr:txBody>
    </xdr:sp>
    <xdr:clientData/>
  </xdr:twoCellAnchor>
  <xdr:twoCellAnchor>
    <xdr:from>
      <xdr:col>17</xdr:col>
      <xdr:colOff>57150</xdr:colOff>
      <xdr:row>17</xdr:row>
      <xdr:rowOff>161925</xdr:rowOff>
    </xdr:from>
    <xdr:to>
      <xdr:col>18</xdr:col>
      <xdr:colOff>257175</xdr:colOff>
      <xdr:row>19</xdr:row>
      <xdr:rowOff>19050</xdr:rowOff>
    </xdr:to>
    <xdr:sp macro="" textlink="">
      <xdr:nvSpPr>
        <xdr:cNvPr id="33" name="TextBox 32"/>
        <xdr:cNvSpPr txBox="1"/>
      </xdr:nvSpPr>
      <xdr:spPr>
        <a:xfrm>
          <a:off x="10553700" y="4143375"/>
          <a:ext cx="8096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>
              <a:solidFill>
                <a:schemeClr val="bg1"/>
              </a:solidFill>
            </a:rPr>
            <a:t>Minbya</a:t>
          </a:r>
        </a:p>
      </xdr:txBody>
    </xdr:sp>
    <xdr:clientData/>
  </xdr:twoCellAnchor>
  <xdr:twoCellAnchor>
    <xdr:from>
      <xdr:col>17</xdr:col>
      <xdr:colOff>190500</xdr:colOff>
      <xdr:row>21</xdr:row>
      <xdr:rowOff>104775</xdr:rowOff>
    </xdr:from>
    <xdr:to>
      <xdr:col>18</xdr:col>
      <xdr:colOff>390525</xdr:colOff>
      <xdr:row>22</xdr:row>
      <xdr:rowOff>171450</xdr:rowOff>
    </xdr:to>
    <xdr:sp macro="" textlink="">
      <xdr:nvSpPr>
        <xdr:cNvPr id="34" name="TextBox 33"/>
        <xdr:cNvSpPr txBox="1"/>
      </xdr:nvSpPr>
      <xdr:spPr>
        <a:xfrm>
          <a:off x="10687050" y="4886325"/>
          <a:ext cx="8096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>
              <a:solidFill>
                <a:schemeClr val="bg1"/>
              </a:solidFill>
            </a:rPr>
            <a:t>Myebon</a:t>
          </a:r>
        </a:p>
      </xdr:txBody>
    </xdr:sp>
    <xdr:clientData/>
  </xdr:twoCellAnchor>
  <xdr:twoCellAnchor>
    <xdr:from>
      <xdr:col>17</xdr:col>
      <xdr:colOff>495300</xdr:colOff>
      <xdr:row>35</xdr:row>
      <xdr:rowOff>38100</xdr:rowOff>
    </xdr:from>
    <xdr:to>
      <xdr:col>19</xdr:col>
      <xdr:colOff>47625</xdr:colOff>
      <xdr:row>36</xdr:row>
      <xdr:rowOff>104775</xdr:rowOff>
    </xdr:to>
    <xdr:sp macro="" textlink="">
      <xdr:nvSpPr>
        <xdr:cNvPr id="35" name="TextBox 34"/>
        <xdr:cNvSpPr txBox="1"/>
      </xdr:nvSpPr>
      <xdr:spPr>
        <a:xfrm>
          <a:off x="10991850" y="7486650"/>
          <a:ext cx="7715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>
              <a:solidFill>
                <a:schemeClr val="bg1"/>
              </a:solidFill>
            </a:rPr>
            <a:t>Kyaukpyu</a:t>
          </a:r>
        </a:p>
      </xdr:txBody>
    </xdr:sp>
    <xdr:clientData/>
  </xdr:twoCellAnchor>
  <xdr:twoCellAnchor>
    <xdr:from>
      <xdr:col>18</xdr:col>
      <xdr:colOff>371475</xdr:colOff>
      <xdr:row>38</xdr:row>
      <xdr:rowOff>19050</xdr:rowOff>
    </xdr:from>
    <xdr:to>
      <xdr:col>19</xdr:col>
      <xdr:colOff>571500</xdr:colOff>
      <xdr:row>39</xdr:row>
      <xdr:rowOff>85725</xdr:rowOff>
    </xdr:to>
    <xdr:sp macro="" textlink="">
      <xdr:nvSpPr>
        <xdr:cNvPr id="36" name="TextBox 35"/>
        <xdr:cNvSpPr txBox="1"/>
      </xdr:nvSpPr>
      <xdr:spPr>
        <a:xfrm>
          <a:off x="11477625" y="8039100"/>
          <a:ext cx="8096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>
              <a:solidFill>
                <a:schemeClr val="bg1"/>
              </a:solidFill>
            </a:rPr>
            <a:t>Ramree</a:t>
          </a:r>
        </a:p>
      </xdr:txBody>
    </xdr:sp>
    <xdr:clientData/>
  </xdr:twoCellAnchor>
  <xdr:twoCellAnchor>
    <xdr:from>
      <xdr:col>0</xdr:col>
      <xdr:colOff>28575</xdr:colOff>
      <xdr:row>9</xdr:row>
      <xdr:rowOff>66675</xdr:rowOff>
    </xdr:from>
    <xdr:to>
      <xdr:col>9</xdr:col>
      <xdr:colOff>0</xdr:colOff>
      <xdr:row>12</xdr:row>
      <xdr:rowOff>123825</xdr:rowOff>
    </xdr:to>
    <xdr:grpSp>
      <xdr:nvGrpSpPr>
        <xdr:cNvPr id="37" name="Group 36"/>
        <xdr:cNvGrpSpPr/>
      </xdr:nvGrpSpPr>
      <xdr:grpSpPr>
        <a:xfrm>
          <a:off x="28575" y="2457450"/>
          <a:ext cx="5591175" cy="647700"/>
          <a:chOff x="3977473" y="11255891"/>
          <a:chExt cx="1965263" cy="245179"/>
        </a:xfrm>
        <a:effectLst>
          <a:outerShdw blurRad="63500" sx="102000" sy="102000" algn="ctr" rotWithShape="0">
            <a:prstClr val="black">
              <a:alpha val="40000"/>
            </a:prstClr>
          </a:outerShdw>
        </a:effectLst>
      </xdr:grpSpPr>
      <xdr:sp macro="" textlink="">
        <xdr:nvSpPr>
          <xdr:cNvPr id="38" name="Rectangle 37"/>
          <xdr:cNvSpPr/>
        </xdr:nvSpPr>
        <xdr:spPr>
          <a:xfrm>
            <a:off x="3988773" y="11300452"/>
            <a:ext cx="1348662" cy="182904"/>
          </a:xfrm>
          <a:prstGeom prst="rect">
            <a:avLst/>
          </a:prstGeom>
          <a:solidFill>
            <a:srgbClr val="FFFFFF">
              <a:alpha val="85000"/>
            </a:srgbClr>
          </a:solidFill>
          <a:ln>
            <a:noFill/>
          </a:ln>
        </xdr:spPr>
        <xdr:style>
          <a:lnRef idx="2">
            <a:schemeClr val="accent1"/>
          </a:lnRef>
          <a:fillRef idx="1">
            <a:schemeClr val="bg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2400"/>
          </a:p>
        </xdr:txBody>
      </xdr:sp>
      <xdr:sp macro="" textlink="">
        <xdr:nvSpPr>
          <xdr:cNvPr id="39" name="TextBox 38"/>
          <xdr:cNvSpPr txBox="1"/>
        </xdr:nvSpPr>
        <xdr:spPr>
          <a:xfrm>
            <a:off x="3977473" y="11255891"/>
            <a:ext cx="1294617" cy="245179"/>
          </a:xfrm>
          <a:prstGeom prst="rect">
            <a:avLst/>
          </a:prstGeom>
          <a:noFill/>
          <a:ln w="9525" cmpd="sng">
            <a:noFill/>
          </a:ln>
          <a:effectLst>
            <a:glow rad="25400">
              <a:schemeClr val="bg1"/>
            </a:glow>
          </a:effectLst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180000" tIns="144000" rtlCol="0" anchor="t"/>
          <a:lstStyle/>
          <a:p>
            <a:r>
              <a:rPr lang="en-GB" sz="1400" b="0">
                <a:solidFill>
                  <a:srgbClr val="FF0000"/>
                </a:solidFill>
                <a:effectLst/>
                <a:latin typeface="Franklin Gothic Medium Cond" pitchFamily="34" charset="0"/>
                <a:ea typeface="+mn-ea"/>
                <a:cs typeface="+mn-cs"/>
              </a:rPr>
              <a:t>Estimated</a:t>
            </a:r>
            <a:r>
              <a:rPr lang="en-GB" sz="1400" b="0" baseline="0">
                <a:solidFill>
                  <a:srgbClr val="FF0000"/>
                </a:solidFill>
                <a:effectLst/>
                <a:latin typeface="Franklin Gothic Medium Cond" pitchFamily="34" charset="0"/>
                <a:ea typeface="+mn-ea"/>
                <a:cs typeface="+mn-cs"/>
              </a:rPr>
              <a:t> number of </a:t>
            </a:r>
            <a:r>
              <a:rPr lang="en-GB" sz="1400" b="0">
                <a:solidFill>
                  <a:srgbClr val="FF0000"/>
                </a:solidFill>
                <a:effectLst/>
                <a:latin typeface="Franklin Gothic Medium Cond" pitchFamily="34" charset="0"/>
                <a:ea typeface="+mn-ea"/>
                <a:cs typeface="+mn-cs"/>
              </a:rPr>
              <a:t>IDP  </a:t>
            </a:r>
            <a:r>
              <a:rPr lang="en-GB" sz="1400" b="0" u="sng">
                <a:solidFill>
                  <a:srgbClr val="FF0000"/>
                </a:solidFill>
                <a:effectLst/>
                <a:latin typeface="Franklin Gothic Medium Cond" pitchFamily="34" charset="0"/>
                <a:ea typeface="+mn-ea"/>
                <a:cs typeface="+mn-cs"/>
              </a:rPr>
              <a:t>without</a:t>
            </a:r>
            <a:r>
              <a:rPr lang="en-GB" sz="1400" b="0">
                <a:solidFill>
                  <a:srgbClr val="FF0000"/>
                </a:solidFill>
                <a:effectLst/>
                <a:latin typeface="Franklin Gothic Medium Cond" pitchFamily="34" charset="0"/>
                <a:ea typeface="+mn-ea"/>
                <a:cs typeface="+mn-cs"/>
              </a:rPr>
              <a:t>  temporary or permanent</a:t>
            </a:r>
            <a:r>
              <a:rPr lang="en-GB" sz="1400" b="0" baseline="0">
                <a:solidFill>
                  <a:srgbClr val="FF0000"/>
                </a:solidFill>
                <a:effectLst/>
                <a:latin typeface="Franklin Gothic Medium Cond" pitchFamily="34" charset="0"/>
                <a:ea typeface="+mn-ea"/>
                <a:cs typeface="+mn-cs"/>
              </a:rPr>
              <a:t>  s</a:t>
            </a:r>
            <a:r>
              <a:rPr lang="en-GB" sz="1400" b="0">
                <a:solidFill>
                  <a:srgbClr val="FF0000"/>
                </a:solidFill>
                <a:effectLst/>
                <a:latin typeface="Franklin Gothic Medium Cond" pitchFamily="34" charset="0"/>
                <a:ea typeface="+mn-ea"/>
                <a:cs typeface="+mn-cs"/>
              </a:rPr>
              <a:t>helter</a:t>
            </a:r>
            <a:endParaRPr lang="en-GB" sz="1400">
              <a:solidFill>
                <a:srgbClr val="FF0000"/>
              </a:solidFill>
              <a:effectLst/>
              <a:latin typeface="Franklin Gothic Medium Cond" pitchFamily="34" charset="0"/>
            </a:endParaRPr>
          </a:p>
        </xdr:txBody>
      </xdr:sp>
      <xdr:sp macro="" textlink="$W$35">
        <xdr:nvSpPr>
          <xdr:cNvPr id="40" name="Rectangle 39"/>
          <xdr:cNvSpPr/>
        </xdr:nvSpPr>
        <xdr:spPr>
          <a:xfrm>
            <a:off x="5172844" y="11296652"/>
            <a:ext cx="769892" cy="190872"/>
          </a:xfrm>
          <a:prstGeom prst="rect">
            <a:avLst/>
          </a:prstGeom>
          <a:solidFill>
            <a:srgbClr val="FF0000"/>
          </a:solidFill>
          <a:ln w="6350">
            <a:solidFill>
              <a:schemeClr val="bg1">
                <a:lumMod val="85000"/>
              </a:schemeClr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tIns="0" rtlCol="0" anchor="ctr"/>
          <a:lstStyle/>
          <a:p>
            <a:pPr algn="ctr"/>
            <a:fld id="{1B43A4B4-03A9-4F02-844A-D51770911D04}" type="TxLink">
              <a:rPr lang="en-US" sz="2800">
                <a:latin typeface="Franklin Gothic Demi Cond" pitchFamily="34" charset="0"/>
              </a:rPr>
              <a:pPr algn="ctr"/>
              <a:t> 26,452 </a:t>
            </a:fld>
            <a:endParaRPr lang="en-US" sz="2800">
              <a:latin typeface="Franklin Gothic Demi Cond" pitchFamily="34" charset="0"/>
            </a:endParaRPr>
          </a:p>
        </xdr:txBody>
      </xdr:sp>
    </xdr:grpSp>
    <xdr:clientData/>
  </xdr:twoCellAnchor>
  <xdr:twoCellAnchor>
    <xdr:from>
      <xdr:col>0</xdr:col>
      <xdr:colOff>57150</xdr:colOff>
      <xdr:row>13</xdr:row>
      <xdr:rowOff>19050</xdr:rowOff>
    </xdr:from>
    <xdr:to>
      <xdr:col>5</xdr:col>
      <xdr:colOff>419100</xdr:colOff>
      <xdr:row>28</xdr:row>
      <xdr:rowOff>0</xdr:rowOff>
    </xdr:to>
    <xdr:graphicFrame macro="">
      <xdr:nvGraphicFramePr>
        <xdr:cNvPr id="42" name="Chart 41"/>
        <xdr:cNvGraphicFramePr/>
      </xdr:nvGraphicFramePr>
      <xdr:xfrm>
        <a:off x="57150" y="3200400"/>
        <a:ext cx="3248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29</xdr:row>
      <xdr:rowOff>76200</xdr:rowOff>
    </xdr:from>
    <xdr:to>
      <xdr:col>12</xdr:col>
      <xdr:colOff>571500</xdr:colOff>
      <xdr:row>45</xdr:row>
      <xdr:rowOff>123825</xdr:rowOff>
    </xdr:to>
    <xdr:graphicFrame macro="">
      <xdr:nvGraphicFramePr>
        <xdr:cNvPr id="44" name="Chart 43"/>
        <xdr:cNvGraphicFramePr/>
      </xdr:nvGraphicFramePr>
      <xdr:xfrm>
        <a:off x="4781550" y="6381750"/>
        <a:ext cx="3238500" cy="3095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8</xdr:col>
      <xdr:colOff>0</xdr:colOff>
      <xdr:row>45</xdr:row>
      <xdr:rowOff>85725</xdr:rowOff>
    </xdr:to>
    <xdr:graphicFrame macro="">
      <xdr:nvGraphicFramePr>
        <xdr:cNvPr id="45" name="Chart 44"/>
        <xdr:cNvGraphicFramePr/>
      </xdr:nvGraphicFramePr>
      <xdr:xfrm>
        <a:off x="0" y="6410325"/>
        <a:ext cx="4781550" cy="3028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285750</xdr:colOff>
      <xdr:row>15</xdr:row>
      <xdr:rowOff>152400</xdr:rowOff>
    </xdr:from>
    <xdr:to>
      <xdr:col>14</xdr:col>
      <xdr:colOff>485775</xdr:colOff>
      <xdr:row>16</xdr:row>
      <xdr:rowOff>200025</xdr:rowOff>
    </xdr:to>
    <xdr:sp macro="" textlink="">
      <xdr:nvSpPr>
        <xdr:cNvPr id="46" name="TextBox 45"/>
        <xdr:cNvSpPr txBox="1"/>
      </xdr:nvSpPr>
      <xdr:spPr>
        <a:xfrm>
          <a:off x="8343900" y="3733800"/>
          <a:ext cx="8096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>
              <a:solidFill>
                <a:schemeClr val="bg1"/>
              </a:solidFill>
            </a:rPr>
            <a:t>Rathedaung</a:t>
          </a:r>
        </a:p>
      </xdr:txBody>
    </xdr:sp>
    <xdr:clientData/>
  </xdr:twoCellAnchor>
  <xdr:twoCellAnchor>
    <xdr:from>
      <xdr:col>25</xdr:col>
      <xdr:colOff>1476375</xdr:colOff>
      <xdr:row>22</xdr:row>
      <xdr:rowOff>57150</xdr:rowOff>
    </xdr:from>
    <xdr:to>
      <xdr:col>26</xdr:col>
      <xdr:colOff>571500</xdr:colOff>
      <xdr:row>24</xdr:row>
      <xdr:rowOff>38100</xdr:rowOff>
    </xdr:to>
    <xdr:grpSp>
      <xdr:nvGrpSpPr>
        <xdr:cNvPr id="47" name="Group 46"/>
        <xdr:cNvGrpSpPr/>
      </xdr:nvGrpSpPr>
      <xdr:grpSpPr>
        <a:xfrm>
          <a:off x="18745200" y="5029200"/>
          <a:ext cx="1123950" cy="361950"/>
          <a:chOff x="8524874" y="4310063"/>
          <a:chExt cx="1166813" cy="367685"/>
        </a:xfrm>
      </xdr:grpSpPr>
      <xdr:sp macro="" textlink="">
        <xdr:nvSpPr>
          <xdr:cNvPr id="48" name="TextBox 47"/>
          <xdr:cNvSpPr txBox="1"/>
        </xdr:nvSpPr>
        <xdr:spPr>
          <a:xfrm>
            <a:off x="8524874" y="4393436"/>
            <a:ext cx="614035" cy="2843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>
                <a:solidFill>
                  <a:sysClr val="windowText" lastClr="000000"/>
                </a:solidFill>
              </a:rPr>
              <a:t>Sittwe</a:t>
            </a:r>
          </a:p>
        </xdr:txBody>
      </xdr:sp>
      <xdr:cxnSp macro="">
        <xdr:nvCxnSpPr>
          <xdr:cNvPr id="49" name="Straight Connector 48"/>
          <xdr:cNvCxnSpPr>
            <a:stCxn id="48" idx="3"/>
          </xdr:cNvCxnSpPr>
        </xdr:nvCxnSpPr>
        <xdr:spPr>
          <a:xfrm flipV="1">
            <a:off x="9138909" y="4310063"/>
            <a:ext cx="552778" cy="225483"/>
          </a:xfrm>
          <a:prstGeom prst="line">
            <a:avLst/>
          </a:prstGeom>
          <a:ln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190500</xdr:colOff>
      <xdr:row>0</xdr:row>
      <xdr:rowOff>438150</xdr:rowOff>
    </xdr:to>
    <xdr:sp macro="" textlink="">
      <xdr:nvSpPr>
        <xdr:cNvPr id="50" name="Rounded Rectangle 49">
          <a:hlinkClick r:id="rId5"/>
        </xdr:cNvPr>
        <xdr:cNvSpPr/>
      </xdr:nvSpPr>
      <xdr:spPr>
        <a:xfrm>
          <a:off x="19050" y="0"/>
          <a:ext cx="1438275" cy="438150"/>
        </a:xfrm>
        <a:prstGeom prst="roundRect">
          <a:avLst/>
        </a:prstGeom>
        <a:ln>
          <a:solidFill>
            <a:schemeClr val="accent6">
              <a:lumMod val="60000"/>
              <a:lumOff val="40000"/>
            </a:schemeClr>
          </a:solidFill>
          <a:headEnd type="none"/>
          <a:tailEnd type="non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Home</a:t>
          </a:r>
        </a:p>
      </xdr:txBody>
    </xdr:sp>
    <xdr:clientData/>
  </xdr:twoCellAnchor>
  <xdr:twoCellAnchor>
    <xdr:from>
      <xdr:col>12</xdr:col>
      <xdr:colOff>352425</xdr:colOff>
      <xdr:row>1</xdr:row>
      <xdr:rowOff>0</xdr:rowOff>
    </xdr:from>
    <xdr:to>
      <xdr:col>19</xdr:col>
      <xdr:colOff>828675</xdr:colOff>
      <xdr:row>1</xdr:row>
      <xdr:rowOff>457200</xdr:rowOff>
    </xdr:to>
    <xdr:grpSp>
      <xdr:nvGrpSpPr>
        <xdr:cNvPr id="52" name="Group 51"/>
        <xdr:cNvGrpSpPr/>
      </xdr:nvGrpSpPr>
      <xdr:grpSpPr>
        <a:xfrm>
          <a:off x="7800975" y="457200"/>
          <a:ext cx="4743450" cy="457200"/>
          <a:chOff x="8584406" y="94693"/>
          <a:chExt cx="5024438" cy="409524"/>
        </a:xfrm>
      </xdr:grpSpPr>
      <xdr:pic>
        <xdr:nvPicPr>
          <xdr:cNvPr id="53" name="Picture 52"/>
          <xdr:cNvPicPr preferRelativeResize="1">
            <a:picLocks noChangeAspect="1"/>
          </xdr:cNvPicPr>
        </xdr:nvPicPr>
        <xdr:blipFill>
          <a:blip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84406" y="94693"/>
            <a:ext cx="409492" cy="409524"/>
          </a:xfrm>
          <a:prstGeom prst="rect">
            <a:avLst/>
          </a:prstGeom>
          <a:ln>
            <a:noFill/>
          </a:ln>
        </xdr:spPr>
      </xdr:pic>
      <xdr:pic>
        <xdr:nvPicPr>
          <xdr:cNvPr id="54" name="Picture 53"/>
          <xdr:cNvPicPr preferRelativeResize="1">
            <a:picLocks noChangeAspect="1"/>
          </xdr:cNvPicPr>
        </xdr:nvPicPr>
        <xdr:blipFill>
          <a:blip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25300" y="97662"/>
            <a:ext cx="399443" cy="400003"/>
          </a:xfrm>
          <a:prstGeom prst="rect">
            <a:avLst/>
          </a:prstGeom>
          <a:ln>
            <a:noFill/>
          </a:ln>
        </xdr:spPr>
      </xdr:pic>
      <xdr:pic>
        <xdr:nvPicPr>
          <xdr:cNvPr id="55" name="Picture 54"/>
          <xdr:cNvPicPr preferRelativeResize="1">
            <a:picLocks noChangeAspect="1"/>
          </xdr:cNvPicPr>
        </xdr:nvPicPr>
        <xdr:blipFill>
          <a:blip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464939" y="94693"/>
            <a:ext cx="409492" cy="409524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56" name="TextBox 1"/>
          <xdr:cNvSpPr txBox="1"/>
        </xdr:nvSpPr>
        <xdr:spPr>
          <a:xfrm>
            <a:off x="9929699" y="102986"/>
            <a:ext cx="3679145" cy="3929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20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Shelter/NFI/CCCM Cluster</a:t>
            </a:r>
          </a:p>
          <a:p>
            <a:r>
              <a:rPr lang="en-US" sz="20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 </a:t>
            </a:r>
          </a:p>
        </xdr:txBody>
      </xdr:sp>
    </xdr:grpSp>
    <xdr:clientData/>
  </xdr:twoCellAnchor>
  <xdr:twoCellAnchor>
    <xdr:from>
      <xdr:col>8</xdr:col>
      <xdr:colOff>600075</xdr:colOff>
      <xdr:row>13</xdr:row>
      <xdr:rowOff>123825</xdr:rowOff>
    </xdr:from>
    <xdr:to>
      <xdr:col>20</xdr:col>
      <xdr:colOff>114300</xdr:colOff>
      <xdr:row>27</xdr:row>
      <xdr:rowOff>76200</xdr:rowOff>
    </xdr:to>
    <xdr:graphicFrame macro="">
      <xdr:nvGraphicFramePr>
        <xdr:cNvPr id="58" name="Chart 57"/>
        <xdr:cNvGraphicFramePr/>
      </xdr:nvGraphicFramePr>
      <xdr:xfrm>
        <a:off x="5381625" y="3305175"/>
        <a:ext cx="7286625" cy="2695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36</xdr:col>
          <xdr:colOff>247650</xdr:colOff>
          <xdr:row>28</xdr:row>
          <xdr:rowOff>142875</xdr:rowOff>
        </xdr:from>
        <xdr:to>
          <xdr:col>40</xdr:col>
          <xdr:colOff>47625</xdr:colOff>
          <xdr:row>32</xdr:row>
          <xdr:rowOff>28575</xdr:rowOff>
        </xdr:to>
        <xdr:sp macro="" textlink="">
          <xdr:nvSpPr>
            <xdr:cNvPr id="12289" name="Button 1" hidden="1">
              <a:extLst xmlns:a="http://schemas.openxmlformats.org/drawingml/2006/main"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27432" rIns="27432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Calculate</a:t>
              </a:r>
            </a:p>
          </xdr:txBody>
        </xdr:sp>
        <xdr:clientData fPrintsWithSheet="0"/>
      </xdr:twoCellAnchor>
    </mc:Choice>
    <mc:Fallback/>
  </mc:AlternateContent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0.009</cdr:y>
    </cdr:from>
    <cdr:to>
      <cdr:x>0</cdr:x>
      <cdr:y>0</cdr:y>
    </cdr:to>
    <cdr:sp macro="" textlink="">
      <cdr:nvSpPr>
        <cdr:cNvPr id="2" name="TextBox 3"/>
        <cdr:cNvSpPr txBox="1">
          <a:spLocks/>
        </cdr:cNvSpPr>
      </cdr:nvSpPr>
      <cdr:spPr>
        <a:xfrm>
          <a:off x="0" y="19050"/>
          <a:ext cx="0" cy="0"/>
        </a:xfrm>
        <a:prstGeom prst="rect">
          <a:avLst/>
        </a:prstGeom>
        <a:solidFill>
          <a:srgbClr val="FFFFFF">
            <a:alpha val="70000"/>
          </a:srgbClr>
        </a:solidFill>
        <a:ln w="9525" cmpd="sng">
          <a:noFill/>
        </a:ln>
        <a:effectLst>
          <a:outerShdw blurRad="88900" dist="25400" dir="5400000" algn="t" rotWithShape="0">
            <a:prstClr val="black">
              <a:alpha val="11000"/>
            </a:prstClr>
          </a:outerShdw>
        </a:effectLst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tIns="0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400" baseline="0">
              <a:latin typeface="Franklin Gothic Medium Cond" pitchFamily="34" charset="0"/>
            </a:rPr>
            <a:t>Coverage by Temp. Shelter (# of HH)</a:t>
          </a:r>
          <a:endParaRPr lang="en-GB" sz="1400">
            <a:latin typeface="Franklin Gothic Medium Cond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0.009</cdr:y>
    </cdr:from>
    <cdr:to>
      <cdr:x>0</cdr:x>
      <cdr:y>0</cdr:y>
    </cdr:to>
    <cdr:sp macro="" textlink="">
      <cdr:nvSpPr>
        <cdr:cNvPr id="3" name="TextBox 3"/>
        <cdr:cNvSpPr txBox="1">
          <a:spLocks/>
        </cdr:cNvSpPr>
      </cdr:nvSpPr>
      <cdr:spPr>
        <a:xfrm>
          <a:off x="0" y="19050"/>
          <a:ext cx="0" cy="0"/>
        </a:xfrm>
        <a:prstGeom prst="rect">
          <a:avLst/>
        </a:prstGeom>
        <a:solidFill>
          <a:srgbClr val="FFFFFF">
            <a:alpha val="70000"/>
          </a:srgbClr>
        </a:solidFill>
        <a:ln w="9525" cmpd="sng">
          <a:noFill/>
        </a:ln>
        <a:effectLst>
          <a:outerShdw blurRad="88900" dist="25400" dir="5400000" algn="t" rotWithShape="0">
            <a:prstClr val="black">
              <a:alpha val="11000"/>
            </a:prstClr>
          </a:outerShdw>
        </a:effectLst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tIns="0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400" baseline="0">
              <a:latin typeface="Franklin Gothic Medium Cond" pitchFamily="34" charset="0"/>
            </a:rPr>
            <a:t>Coverage by Temp. Shelter (# of HH)</a:t>
          </a:r>
          <a:endParaRPr lang="en-GB" sz="1400">
            <a:latin typeface="Franklin Gothic Medium Cond" pitchFamily="34" charset="0"/>
          </a:endParaRP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4" name="TextBox 3"/>
        <cdr:cNvSpPr txBox="1"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>
            <a:alpha val="70000"/>
          </a:srgbClr>
        </a:solidFill>
        <a:ln w="9525" cmpd="sng">
          <a:noFill/>
        </a:ln>
        <a:effectLst>
          <a:outerShdw blurRad="88900" dist="25400" dir="5400000" algn="t" rotWithShape="0">
            <a:prstClr val="black">
              <a:alpha val="11000"/>
            </a:prstClr>
          </a:outerShdw>
        </a:effectLst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tIns="0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400" baseline="0">
              <a:latin typeface="Franklin Gothic Medium Cond" pitchFamily="34" charset="0"/>
            </a:rPr>
            <a:t>Overall Shelter Situation</a:t>
          </a:r>
          <a:endParaRPr lang="en-GB" sz="1400">
            <a:latin typeface="Franklin Gothic Medium Cond" pitchFamily="34" charset="0"/>
          </a:endParaRP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4" name="TextBox 3"/>
        <cdr:cNvSpPr txBox="1"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>
            <a:alpha val="70000"/>
          </a:srgbClr>
        </a:solidFill>
        <a:ln w="9525" cmpd="sng">
          <a:noFill/>
        </a:ln>
        <a:effectLst>
          <a:outerShdw blurRad="88900" dist="25400" dir="5400000" algn="t" rotWithShape="0">
            <a:prstClr val="black">
              <a:alpha val="11000"/>
            </a:prstClr>
          </a:outerShdw>
        </a:effectLst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tIns="0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400" baseline="0">
              <a:latin typeface="Franklin Gothic Medium Cond" pitchFamily="34" charset="0"/>
            </a:rPr>
            <a:t>Shelter coverage by township (# of people)</a:t>
          </a:r>
          <a:endParaRPr lang="en-GB" sz="1400">
            <a:latin typeface="Franklin Gothic Medium Cond" pitchFamily="34" charset="0"/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161925</xdr:colOff>
      <xdr:row>1</xdr:row>
      <xdr:rowOff>447675</xdr:rowOff>
    </xdr:from>
    <xdr:to>
      <xdr:col>28</xdr:col>
      <xdr:colOff>219075</xdr:colOff>
      <xdr:row>41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68950" y="904875"/>
          <a:ext cx="4962525" cy="78581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19050</xdr:colOff>
      <xdr:row>6</xdr:row>
      <xdr:rowOff>142875</xdr:rowOff>
    </xdr:from>
    <xdr:to>
      <xdr:col>8</xdr:col>
      <xdr:colOff>609600</xdr:colOff>
      <xdr:row>9</xdr:row>
      <xdr:rowOff>47625</xdr:rowOff>
    </xdr:to>
    <xdr:grpSp>
      <xdr:nvGrpSpPr>
        <xdr:cNvPr id="3" name="Group 2"/>
        <xdr:cNvGrpSpPr/>
      </xdr:nvGrpSpPr>
      <xdr:grpSpPr>
        <a:xfrm>
          <a:off x="19050" y="1857375"/>
          <a:ext cx="5372100" cy="581025"/>
          <a:chOff x="3977473" y="11269980"/>
          <a:chExt cx="1965263" cy="217553"/>
        </a:xfrm>
        <a:effectLst>
          <a:outerShdw blurRad="63500" sx="102000" sy="102000" algn="ctr" rotWithShape="0">
            <a:prstClr val="black">
              <a:alpha val="40000"/>
            </a:prstClr>
          </a:outerShdw>
        </a:effectLst>
      </xdr:grpSpPr>
      <xdr:sp macro="" textlink="">
        <xdr:nvSpPr>
          <xdr:cNvPr id="4" name="Rectangle 3"/>
          <xdr:cNvSpPr/>
        </xdr:nvSpPr>
        <xdr:spPr>
          <a:xfrm>
            <a:off x="3988773" y="11300437"/>
            <a:ext cx="1348662" cy="182908"/>
          </a:xfrm>
          <a:prstGeom prst="rect">
            <a:avLst/>
          </a:prstGeom>
          <a:solidFill>
            <a:srgbClr val="FFFFFF">
              <a:alpha val="85000"/>
            </a:srgbClr>
          </a:solidFill>
          <a:ln>
            <a:noFill/>
          </a:ln>
        </xdr:spPr>
        <xdr:style>
          <a:lnRef idx="2">
            <a:schemeClr val="accent1"/>
          </a:lnRef>
          <a:fillRef idx="1">
            <a:schemeClr val="bg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2400"/>
          </a:p>
        </xdr:txBody>
      </xdr:sp>
      <xdr:sp macro="" textlink="">
        <xdr:nvSpPr>
          <xdr:cNvPr id="5" name="TextBox 4"/>
          <xdr:cNvSpPr txBox="1"/>
        </xdr:nvSpPr>
        <xdr:spPr>
          <a:xfrm>
            <a:off x="3977473" y="11269980"/>
            <a:ext cx="1294617" cy="208688"/>
          </a:xfrm>
          <a:prstGeom prst="rect">
            <a:avLst/>
          </a:prstGeom>
          <a:noFill/>
          <a:ln w="9525" cmpd="sng">
            <a:noFill/>
          </a:ln>
          <a:effectLst>
            <a:glow rad="25400">
              <a:schemeClr val="bg1"/>
            </a:glow>
          </a:effectLst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180000" tIns="144000" rtlCol="0" anchor="t"/>
          <a:lstStyle/>
          <a:p>
            <a:r>
              <a:rPr lang="en-GB" sz="1400" b="0">
                <a:solidFill>
                  <a:schemeClr val="dk1"/>
                </a:solidFill>
                <a:effectLst/>
                <a:latin typeface="Franklin Gothic Medium Cond" pitchFamily="34" charset="0"/>
                <a:ea typeface="+mn-ea"/>
                <a:cs typeface="+mn-cs"/>
              </a:rPr>
              <a:t>Total Estimated</a:t>
            </a:r>
            <a:r>
              <a:rPr lang="en-GB" sz="1400" b="0" baseline="0">
                <a:solidFill>
                  <a:schemeClr val="dk1"/>
                </a:solidFill>
                <a:effectLst/>
                <a:latin typeface="Franklin Gothic Medium Cond" pitchFamily="34" charset="0"/>
                <a:ea typeface="+mn-ea"/>
                <a:cs typeface="+mn-cs"/>
              </a:rPr>
              <a:t> number </a:t>
            </a:r>
            <a:r>
              <a:rPr lang="en-GB" sz="1400" b="0">
                <a:solidFill>
                  <a:schemeClr val="dk1"/>
                </a:solidFill>
                <a:effectLst/>
                <a:latin typeface="Franklin Gothic Medium Cond" pitchFamily="34" charset="0"/>
                <a:ea typeface="+mn-ea"/>
                <a:cs typeface="+mn-cs"/>
              </a:rPr>
              <a:t>IDP Population</a:t>
            </a:r>
            <a:endParaRPr lang="en-GB" sz="1400">
              <a:effectLst/>
              <a:latin typeface="Franklin Gothic Medium Cond" pitchFamily="34" charset="0"/>
            </a:endParaRPr>
          </a:p>
        </xdr:txBody>
      </xdr:sp>
      <xdr:sp macro="" textlink="$X$27">
        <xdr:nvSpPr>
          <xdr:cNvPr id="6" name="Rectangle 5"/>
          <xdr:cNvSpPr/>
        </xdr:nvSpPr>
        <xdr:spPr>
          <a:xfrm>
            <a:off x="5172844" y="11296630"/>
            <a:ext cx="769892" cy="190903"/>
          </a:xfrm>
          <a:prstGeom prst="rect">
            <a:avLst/>
          </a:prstGeom>
          <a:solidFill>
            <a:srgbClr val="808080"/>
          </a:solidFill>
          <a:ln w="6350">
            <a:solidFill>
              <a:schemeClr val="bg1">
                <a:lumMod val="85000"/>
              </a:schemeClr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tIns="0" rtlCol="0" anchor="ctr"/>
          <a:lstStyle/>
          <a:p>
            <a:pPr algn="ctr"/>
            <a:fld id="{D028916F-8721-41C8-BE7B-3BC3E0072BAB}" type="TxLink">
              <a:rPr lang="en-US" sz="2800">
                <a:latin typeface="Franklin Gothic Demi Cond" pitchFamily="34" charset="0"/>
              </a:rPr>
              <a:pPr algn="ctr"/>
              <a:t> 82,990 </a:t>
            </a:fld>
            <a:endParaRPr lang="en-US" sz="2800">
              <a:latin typeface="Franklin Gothic Demi Cond" pitchFamily="34" charset="0"/>
            </a:endParaRPr>
          </a:p>
        </xdr:txBody>
      </xdr:sp>
    </xdr:grpSp>
    <xdr:clientData/>
  </xdr:twoCellAnchor>
  <xdr:oneCellAnchor>
    <xdr:from>
      <xdr:col>7</xdr:col>
      <xdr:colOff>504825</xdr:colOff>
      <xdr:row>11</xdr:row>
      <xdr:rowOff>28575</xdr:rowOff>
    </xdr:from>
    <xdr:ext cx="180975" cy="266700"/>
    <xdr:sp macro="" textlink="">
      <xdr:nvSpPr>
        <xdr:cNvPr id="7" name="TextBox 6"/>
        <xdr:cNvSpPr txBox="1"/>
      </xdr:nvSpPr>
      <xdr:spPr>
        <a:xfrm>
          <a:off x="4714875" y="280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200025</xdr:colOff>
      <xdr:row>48</xdr:row>
      <xdr:rowOff>180975</xdr:rowOff>
    </xdr:from>
    <xdr:to>
      <xdr:col>11</xdr:col>
      <xdr:colOff>514350</xdr:colOff>
      <xdr:row>50</xdr:row>
      <xdr:rowOff>38100</xdr:rowOff>
    </xdr:to>
    <xdr:sp macro="" textlink="">
      <xdr:nvSpPr>
        <xdr:cNvPr id="9" name="TextBox 8"/>
        <xdr:cNvSpPr txBox="1"/>
      </xdr:nvSpPr>
      <xdr:spPr>
        <a:xfrm>
          <a:off x="200025" y="10106025"/>
          <a:ext cx="7153275" cy="238125"/>
        </a:xfrm>
        <a:prstGeom prst="rect">
          <a:avLst/>
        </a:prstGeom>
        <a:solidFill>
          <a:srgbClr val="FDFDFD">
            <a:alpha val="77000"/>
          </a:srgbClr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tIns="18000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dk1"/>
              </a:solidFill>
              <a:effectLst/>
              <a:latin typeface="Franklin Gothic Book" pitchFamily="34" charset="0"/>
              <a:ea typeface="+mn-ea"/>
              <a:cs typeface="+mn-cs"/>
            </a:rPr>
            <a:t> </a:t>
          </a:r>
          <a:endParaRPr lang="en-GB" sz="1000">
            <a:effectLst/>
            <a:latin typeface="Franklin Gothic Book" pitchFamily="34" charset="0"/>
          </a:endParaRPr>
        </a:p>
        <a:p>
          <a:endParaRPr lang="en-GB" sz="1000">
            <a:latin typeface="Franklin Gothic Book" pitchFamily="34" charset="0"/>
          </a:endParaRPr>
        </a:p>
      </xdr:txBody>
    </xdr:sp>
    <xdr:clientData/>
  </xdr:twoCellAnchor>
  <xdr:twoCellAnchor>
    <xdr:from>
      <xdr:col>0</xdr:col>
      <xdr:colOff>0</xdr:colOff>
      <xdr:row>48</xdr:row>
      <xdr:rowOff>57150</xdr:rowOff>
    </xdr:from>
    <xdr:to>
      <xdr:col>10</xdr:col>
      <xdr:colOff>457200</xdr:colOff>
      <xdr:row>50</xdr:row>
      <xdr:rowOff>66675</xdr:rowOff>
    </xdr:to>
    <xdr:sp macro="" textlink="">
      <xdr:nvSpPr>
        <xdr:cNvPr id="10" name="TextBox 9"/>
        <xdr:cNvSpPr txBox="1"/>
      </xdr:nvSpPr>
      <xdr:spPr>
        <a:xfrm>
          <a:off x="0" y="9982200"/>
          <a:ext cx="6686550" cy="390525"/>
        </a:xfrm>
        <a:prstGeom prst="rect">
          <a:avLst/>
        </a:prstGeom>
        <a:solidFill>
          <a:srgbClr val="FDFDFD">
            <a:alpha val="77000"/>
          </a:srgbClr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tIns="18000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>
            <a:latin typeface="Franklin Gothic Book" pitchFamily="34" charset="0"/>
          </a:endParaRPr>
        </a:p>
      </xdr:txBody>
    </xdr:sp>
    <xdr:clientData/>
  </xdr:twoCellAnchor>
  <xdr:twoCellAnchor>
    <xdr:from>
      <xdr:col>0</xdr:col>
      <xdr:colOff>19050</xdr:colOff>
      <xdr:row>3</xdr:row>
      <xdr:rowOff>47625</xdr:rowOff>
    </xdr:from>
    <xdr:to>
      <xdr:col>8</xdr:col>
      <xdr:colOff>609600</xdr:colOff>
      <xdr:row>6</xdr:row>
      <xdr:rowOff>95250</xdr:rowOff>
    </xdr:to>
    <xdr:grpSp>
      <xdr:nvGrpSpPr>
        <xdr:cNvPr id="11" name="Group 10"/>
        <xdr:cNvGrpSpPr/>
      </xdr:nvGrpSpPr>
      <xdr:grpSpPr>
        <a:xfrm>
          <a:off x="19050" y="1190625"/>
          <a:ext cx="5372100" cy="619125"/>
          <a:chOff x="3977473" y="11269980"/>
          <a:chExt cx="1965264" cy="217542"/>
        </a:xfrm>
        <a:effectLst>
          <a:outerShdw blurRad="63500" sx="102000" sy="102000" algn="ctr" rotWithShape="0">
            <a:prstClr val="black">
              <a:alpha val="40000"/>
            </a:prstClr>
          </a:outerShdw>
        </a:effectLst>
      </xdr:grpSpPr>
      <xdr:sp macro="" textlink="$Y$27">
        <xdr:nvSpPr>
          <xdr:cNvPr id="12" name="Rectangle 11"/>
          <xdr:cNvSpPr/>
        </xdr:nvSpPr>
        <xdr:spPr>
          <a:xfrm>
            <a:off x="5168423" y="11296629"/>
            <a:ext cx="774314" cy="190893"/>
          </a:xfrm>
          <a:prstGeom prst="rect">
            <a:avLst/>
          </a:prstGeom>
          <a:solidFill>
            <a:srgbClr val="808080"/>
          </a:solidFill>
          <a:ln w="6350">
            <a:solidFill>
              <a:schemeClr val="bg1">
                <a:lumMod val="85000"/>
              </a:schemeClr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tIns="0" rtlCol="0" anchor="ctr"/>
          <a:lstStyle/>
          <a:p>
            <a:pPr algn="ctr"/>
            <a:fld id="{FAAFB2F6-2583-4C41-B14A-BA815F573CBB}" type="TxLink">
              <a:rPr lang="en-US" sz="2800">
                <a:latin typeface="Franklin Gothic Demi Cond" pitchFamily="34" charset="0"/>
              </a:rPr>
              <a:pPr algn="ctr"/>
              <a:t> 164 </a:t>
            </a:fld>
            <a:endParaRPr lang="en-US" sz="2800">
              <a:latin typeface="Franklin Gothic Demi Cond" pitchFamily="34" charset="0"/>
            </a:endParaRPr>
          </a:p>
        </xdr:txBody>
      </xdr:sp>
      <xdr:sp macro="" textlink="">
        <xdr:nvSpPr>
          <xdr:cNvPr id="13" name="Rectangle 12"/>
          <xdr:cNvSpPr/>
        </xdr:nvSpPr>
        <xdr:spPr>
          <a:xfrm>
            <a:off x="3988773" y="11300436"/>
            <a:ext cx="1179650" cy="182898"/>
          </a:xfrm>
          <a:prstGeom prst="rect">
            <a:avLst/>
          </a:prstGeom>
          <a:solidFill>
            <a:srgbClr val="FFFFFF">
              <a:alpha val="85000"/>
            </a:srgbClr>
          </a:solidFill>
          <a:ln>
            <a:noFill/>
          </a:ln>
        </xdr:spPr>
        <xdr:style>
          <a:lnRef idx="2">
            <a:schemeClr val="accent1"/>
          </a:lnRef>
          <a:fillRef idx="1">
            <a:schemeClr val="bg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2400"/>
          </a:p>
        </xdr:txBody>
      </xdr:sp>
      <xdr:sp macro="" textlink="">
        <xdr:nvSpPr>
          <xdr:cNvPr id="14" name="TextBox 13"/>
          <xdr:cNvSpPr txBox="1"/>
        </xdr:nvSpPr>
        <xdr:spPr>
          <a:xfrm>
            <a:off x="3977473" y="11269980"/>
            <a:ext cx="1232221" cy="208677"/>
          </a:xfrm>
          <a:prstGeom prst="rect">
            <a:avLst/>
          </a:prstGeom>
          <a:noFill/>
          <a:ln w="9525" cmpd="sng">
            <a:noFill/>
          </a:ln>
          <a:effectLst>
            <a:glow rad="25400">
              <a:schemeClr val="bg1"/>
            </a:glow>
          </a:effectLst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180000" tIns="144000" rtlCol="0" anchor="t"/>
          <a:lstStyle/>
          <a:p>
            <a:r>
              <a:rPr lang="en-GB" sz="1400" b="0">
                <a:solidFill>
                  <a:schemeClr val="dk1"/>
                </a:solidFill>
                <a:effectLst/>
                <a:latin typeface="Franklin Gothic Medium Cond" pitchFamily="34" charset="0"/>
                <a:ea typeface="+mn-ea"/>
                <a:cs typeface="+mn-cs"/>
              </a:rPr>
              <a:t>Total number of Camps</a:t>
            </a:r>
            <a:endParaRPr lang="en-GB" sz="1400">
              <a:effectLst/>
              <a:latin typeface="Franklin Gothic Medium Cond" pitchFamily="34" charset="0"/>
            </a:endParaRPr>
          </a:p>
        </xdr:txBody>
      </xdr:sp>
    </xdr:grpSp>
    <xdr:clientData/>
  </xdr:twoCellAnchor>
  <xdr:twoCellAnchor>
    <xdr:from>
      <xdr:col>0</xdr:col>
      <xdr:colOff>0</xdr:colOff>
      <xdr:row>46</xdr:row>
      <xdr:rowOff>38100</xdr:rowOff>
    </xdr:from>
    <xdr:to>
      <xdr:col>18</xdr:col>
      <xdr:colOff>552450</xdr:colOff>
      <xdr:row>48</xdr:row>
      <xdr:rowOff>9525</xdr:rowOff>
    </xdr:to>
    <xdr:grpSp>
      <xdr:nvGrpSpPr>
        <xdr:cNvPr id="15" name="Group 14"/>
        <xdr:cNvGrpSpPr/>
      </xdr:nvGrpSpPr>
      <xdr:grpSpPr>
        <a:xfrm>
          <a:off x="0" y="9582150"/>
          <a:ext cx="11658600" cy="352425"/>
          <a:chOff x="6083300" y="9207941"/>
          <a:chExt cx="6831854" cy="275870"/>
        </a:xfrm>
      </xdr:grpSpPr>
      <xdr:sp macro="" textlink="">
        <xdr:nvSpPr>
          <xdr:cNvPr id="16" name="TextBox 15"/>
          <xdr:cNvSpPr txBox="1"/>
        </xdr:nvSpPr>
        <xdr:spPr>
          <a:xfrm>
            <a:off x="6083300" y="9207941"/>
            <a:ext cx="3636254" cy="275870"/>
          </a:xfrm>
          <a:prstGeom prst="rect">
            <a:avLst/>
          </a:prstGeom>
          <a:solidFill>
            <a:srgbClr val="FDFDFD">
              <a:alpha val="77000"/>
            </a:srgbClr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tIns="18000" rtlCol="0" anchor="t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GB" sz="1000" baseline="0">
                <a:solidFill>
                  <a:schemeClr val="dk1"/>
                </a:solidFill>
                <a:effectLst/>
                <a:latin typeface="Franklin Gothic Book" pitchFamily="34" charset="0"/>
                <a:ea typeface="+mn-ea"/>
                <a:cs typeface="+mn-cs"/>
              </a:rPr>
              <a:t>Sources: UNHCR, Myamar Information Management Unit (MIMU), Other Humanitarian Organizations</a:t>
            </a:r>
            <a:endParaRPr lang="en-GB" sz="1000">
              <a:latin typeface="Franklin Gothic Book" pitchFamily="34" charset="0"/>
            </a:endParaRPr>
          </a:p>
        </xdr:txBody>
      </xdr:sp>
      <xdr:sp macro="" textlink="">
        <xdr:nvSpPr>
          <xdr:cNvPr id="17" name="TextBox 16"/>
          <xdr:cNvSpPr txBox="1">
            <a:spLocks/>
          </xdr:cNvSpPr>
        </xdr:nvSpPr>
        <xdr:spPr>
          <a:xfrm>
            <a:off x="9825448" y="9207941"/>
            <a:ext cx="1952202" cy="224075"/>
          </a:xfrm>
          <a:prstGeom prst="rect">
            <a:avLst/>
          </a:prstGeom>
          <a:solidFill>
            <a:srgbClr val="FDFDFD">
              <a:alpha val="92000"/>
            </a:srgbClr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tIns="0" rtlCol="0" anchor="t">
            <a:noAutofit/>
          </a:bodyPr>
          <a:lstStyle/>
          <a:p>
            <a:pPr algn="r"/>
            <a:r>
              <a:rPr lang="en-GB" sz="1200" baseline="0">
                <a:latin typeface="Franklin Gothic Medium Cond" pitchFamily="34" charset="0"/>
              </a:rPr>
              <a:t>For more information, contact</a:t>
            </a:r>
            <a:endParaRPr lang="en-GB" sz="1400">
              <a:latin typeface="Franklin Gothic Medium Cond" pitchFamily="34" charset="0"/>
            </a:endParaRPr>
          </a:p>
        </xdr:txBody>
      </xdr:sp>
      <xdr:sp macro="" textlink="">
        <xdr:nvSpPr>
          <xdr:cNvPr id="18" name="TextBox 17"/>
          <xdr:cNvSpPr txBox="1"/>
        </xdr:nvSpPr>
        <xdr:spPr>
          <a:xfrm>
            <a:off x="11769110" y="9207941"/>
            <a:ext cx="1146044" cy="202833"/>
          </a:xfrm>
          <a:prstGeom prst="rect">
            <a:avLst/>
          </a:prstGeom>
          <a:solidFill>
            <a:srgbClr val="FDFDFD">
              <a:alpha val="77000"/>
            </a:srgbClr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tIns="18000" rtlCol="0" anchor="t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GB" sz="1050" b="0" baseline="0">
                <a:solidFill>
                  <a:srgbClr val="0070C0"/>
                </a:solidFill>
                <a:effectLst/>
                <a:latin typeface="Franklin Gothic Demi" pitchFamily="34" charset="0"/>
                <a:ea typeface="+mn-ea"/>
                <a:cs typeface="+mn-cs"/>
              </a:rPr>
              <a:t>benson@unhcr.org</a:t>
            </a:r>
          </a:p>
        </xdr:txBody>
      </xdr:sp>
    </xdr:grpSp>
    <xdr:clientData/>
  </xdr:twoCellAnchor>
  <xdr:twoCellAnchor>
    <xdr:from>
      <xdr:col>13</xdr:col>
      <xdr:colOff>323850</xdr:colOff>
      <xdr:row>33</xdr:row>
      <xdr:rowOff>66675</xdr:rowOff>
    </xdr:from>
    <xdr:to>
      <xdr:col>14</xdr:col>
      <xdr:colOff>95250</xdr:colOff>
      <xdr:row>35</xdr:row>
      <xdr:rowOff>114300</xdr:rowOff>
    </xdr:to>
    <xdr:sp macro="" textlink="">
      <xdr:nvSpPr>
        <xdr:cNvPr id="19" name="Oval 18"/>
        <xdr:cNvSpPr/>
      </xdr:nvSpPr>
      <xdr:spPr>
        <a:xfrm>
          <a:off x="8382000" y="7134225"/>
          <a:ext cx="381000" cy="428625"/>
        </a:xfrm>
        <a:prstGeom prst="ellipse">
          <a:avLst/>
        </a:prstGeom>
        <a:noFill/>
        <a:ln w="25400">
          <a:solidFill>
            <a:schemeClr val="bg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bg1"/>
              </a:solidFill>
              <a:latin typeface="Arial Black" pitchFamily="34" charset="0"/>
            </a:rPr>
            <a:t>9</a:t>
          </a:r>
        </a:p>
      </xdr:txBody>
    </xdr:sp>
    <xdr:clientData/>
  </xdr:twoCellAnchor>
  <xdr:twoCellAnchor>
    <xdr:from>
      <xdr:col>11</xdr:col>
      <xdr:colOff>476250</xdr:colOff>
      <xdr:row>5</xdr:row>
      <xdr:rowOff>76200</xdr:rowOff>
    </xdr:from>
    <xdr:to>
      <xdr:col>13</xdr:col>
      <xdr:colOff>28575</xdr:colOff>
      <xdr:row>6</xdr:row>
      <xdr:rowOff>142875</xdr:rowOff>
    </xdr:to>
    <xdr:sp macro="" textlink="">
      <xdr:nvSpPr>
        <xdr:cNvPr id="20" name="TextBox 19"/>
        <xdr:cNvSpPr txBox="1"/>
      </xdr:nvSpPr>
      <xdr:spPr>
        <a:xfrm>
          <a:off x="7315200" y="1600200"/>
          <a:ext cx="7715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>
              <a:solidFill>
                <a:schemeClr val="bg1"/>
              </a:solidFill>
            </a:rPr>
            <a:t>Maungdaw</a:t>
          </a:r>
        </a:p>
      </xdr:txBody>
    </xdr:sp>
    <xdr:clientData/>
  </xdr:twoCellAnchor>
  <xdr:twoCellAnchor>
    <xdr:from>
      <xdr:col>14</xdr:col>
      <xdr:colOff>285750</xdr:colOff>
      <xdr:row>9</xdr:row>
      <xdr:rowOff>123825</xdr:rowOff>
    </xdr:from>
    <xdr:to>
      <xdr:col>15</xdr:col>
      <xdr:colOff>485775</xdr:colOff>
      <xdr:row>10</xdr:row>
      <xdr:rowOff>190500</xdr:rowOff>
    </xdr:to>
    <xdr:sp macro="" textlink="">
      <xdr:nvSpPr>
        <xdr:cNvPr id="21" name="TextBox 20"/>
        <xdr:cNvSpPr txBox="1"/>
      </xdr:nvSpPr>
      <xdr:spPr>
        <a:xfrm>
          <a:off x="8953500" y="2514600"/>
          <a:ext cx="8096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>
              <a:solidFill>
                <a:schemeClr val="bg1"/>
              </a:solidFill>
            </a:rPr>
            <a:t>Kyauktaw</a:t>
          </a:r>
        </a:p>
      </xdr:txBody>
    </xdr:sp>
    <xdr:clientData/>
  </xdr:twoCellAnchor>
  <xdr:twoCellAnchor>
    <xdr:from>
      <xdr:col>15</xdr:col>
      <xdr:colOff>438150</xdr:colOff>
      <xdr:row>13</xdr:row>
      <xdr:rowOff>28575</xdr:rowOff>
    </xdr:from>
    <xdr:to>
      <xdr:col>17</xdr:col>
      <xdr:colOff>0</xdr:colOff>
      <xdr:row>14</xdr:row>
      <xdr:rowOff>85725</xdr:rowOff>
    </xdr:to>
    <xdr:sp macro="" textlink="">
      <xdr:nvSpPr>
        <xdr:cNvPr id="22" name="TextBox 21"/>
        <xdr:cNvSpPr txBox="1"/>
      </xdr:nvSpPr>
      <xdr:spPr>
        <a:xfrm>
          <a:off x="9715500" y="3209925"/>
          <a:ext cx="7810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>
              <a:solidFill>
                <a:schemeClr val="bg1"/>
              </a:solidFill>
            </a:rPr>
            <a:t>Mrauk-U</a:t>
          </a:r>
        </a:p>
      </xdr:txBody>
    </xdr:sp>
    <xdr:clientData/>
  </xdr:twoCellAnchor>
  <xdr:twoCellAnchor>
    <xdr:from>
      <xdr:col>15</xdr:col>
      <xdr:colOff>114300</xdr:colOff>
      <xdr:row>22</xdr:row>
      <xdr:rowOff>28575</xdr:rowOff>
    </xdr:from>
    <xdr:to>
      <xdr:col>16</xdr:col>
      <xdr:colOff>314325</xdr:colOff>
      <xdr:row>23</xdr:row>
      <xdr:rowOff>95250</xdr:rowOff>
    </xdr:to>
    <xdr:sp macro="" textlink="">
      <xdr:nvSpPr>
        <xdr:cNvPr id="23" name="TextBox 22"/>
        <xdr:cNvSpPr txBox="1"/>
      </xdr:nvSpPr>
      <xdr:spPr>
        <a:xfrm>
          <a:off x="9391650" y="5000625"/>
          <a:ext cx="8096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>
              <a:solidFill>
                <a:schemeClr val="bg1"/>
              </a:solidFill>
            </a:rPr>
            <a:t>Pauktaw</a:t>
          </a:r>
        </a:p>
      </xdr:txBody>
    </xdr:sp>
    <xdr:clientData/>
  </xdr:twoCellAnchor>
  <xdr:twoCellAnchor>
    <xdr:from>
      <xdr:col>17</xdr:col>
      <xdr:colOff>57150</xdr:colOff>
      <xdr:row>17</xdr:row>
      <xdr:rowOff>161925</xdr:rowOff>
    </xdr:from>
    <xdr:to>
      <xdr:col>18</xdr:col>
      <xdr:colOff>257175</xdr:colOff>
      <xdr:row>19</xdr:row>
      <xdr:rowOff>19050</xdr:rowOff>
    </xdr:to>
    <xdr:sp macro="" textlink="">
      <xdr:nvSpPr>
        <xdr:cNvPr id="24" name="TextBox 23"/>
        <xdr:cNvSpPr txBox="1"/>
      </xdr:nvSpPr>
      <xdr:spPr>
        <a:xfrm>
          <a:off x="10553700" y="4143375"/>
          <a:ext cx="8096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>
              <a:solidFill>
                <a:schemeClr val="bg1"/>
              </a:solidFill>
            </a:rPr>
            <a:t>Minbya</a:t>
          </a:r>
        </a:p>
      </xdr:txBody>
    </xdr:sp>
    <xdr:clientData/>
  </xdr:twoCellAnchor>
  <xdr:twoCellAnchor>
    <xdr:from>
      <xdr:col>17</xdr:col>
      <xdr:colOff>190500</xdr:colOff>
      <xdr:row>21</xdr:row>
      <xdr:rowOff>104775</xdr:rowOff>
    </xdr:from>
    <xdr:to>
      <xdr:col>18</xdr:col>
      <xdr:colOff>390525</xdr:colOff>
      <xdr:row>22</xdr:row>
      <xdr:rowOff>171450</xdr:rowOff>
    </xdr:to>
    <xdr:sp macro="" textlink="">
      <xdr:nvSpPr>
        <xdr:cNvPr id="25" name="TextBox 24"/>
        <xdr:cNvSpPr txBox="1"/>
      </xdr:nvSpPr>
      <xdr:spPr>
        <a:xfrm>
          <a:off x="10687050" y="4886325"/>
          <a:ext cx="8096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>
              <a:solidFill>
                <a:schemeClr val="bg1"/>
              </a:solidFill>
            </a:rPr>
            <a:t>Myebon</a:t>
          </a:r>
        </a:p>
      </xdr:txBody>
    </xdr:sp>
    <xdr:clientData/>
  </xdr:twoCellAnchor>
  <xdr:twoCellAnchor>
    <xdr:from>
      <xdr:col>17</xdr:col>
      <xdr:colOff>495300</xdr:colOff>
      <xdr:row>35</xdr:row>
      <xdr:rowOff>38100</xdr:rowOff>
    </xdr:from>
    <xdr:to>
      <xdr:col>19</xdr:col>
      <xdr:colOff>47625</xdr:colOff>
      <xdr:row>36</xdr:row>
      <xdr:rowOff>104775</xdr:rowOff>
    </xdr:to>
    <xdr:sp macro="" textlink="">
      <xdr:nvSpPr>
        <xdr:cNvPr id="26" name="TextBox 25"/>
        <xdr:cNvSpPr txBox="1"/>
      </xdr:nvSpPr>
      <xdr:spPr>
        <a:xfrm>
          <a:off x="10991850" y="7486650"/>
          <a:ext cx="7715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>
              <a:solidFill>
                <a:schemeClr val="bg1"/>
              </a:solidFill>
            </a:rPr>
            <a:t>Kyukpyu</a:t>
          </a:r>
        </a:p>
      </xdr:txBody>
    </xdr:sp>
    <xdr:clientData/>
  </xdr:twoCellAnchor>
  <xdr:twoCellAnchor>
    <xdr:from>
      <xdr:col>18</xdr:col>
      <xdr:colOff>371475</xdr:colOff>
      <xdr:row>38</xdr:row>
      <xdr:rowOff>19050</xdr:rowOff>
    </xdr:from>
    <xdr:to>
      <xdr:col>19</xdr:col>
      <xdr:colOff>571500</xdr:colOff>
      <xdr:row>39</xdr:row>
      <xdr:rowOff>85725</xdr:rowOff>
    </xdr:to>
    <xdr:sp macro="" textlink="">
      <xdr:nvSpPr>
        <xdr:cNvPr id="27" name="TextBox 26"/>
        <xdr:cNvSpPr txBox="1"/>
      </xdr:nvSpPr>
      <xdr:spPr>
        <a:xfrm>
          <a:off x="11477625" y="8039100"/>
          <a:ext cx="8096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>
              <a:solidFill>
                <a:schemeClr val="bg1"/>
              </a:solidFill>
            </a:rPr>
            <a:t>Ramree</a:t>
          </a:r>
        </a:p>
      </xdr:txBody>
    </xdr:sp>
    <xdr:clientData/>
  </xdr:twoCellAnchor>
  <xdr:twoCellAnchor>
    <xdr:from>
      <xdr:col>0</xdr:col>
      <xdr:colOff>28575</xdr:colOff>
      <xdr:row>9</xdr:row>
      <xdr:rowOff>66675</xdr:rowOff>
    </xdr:from>
    <xdr:to>
      <xdr:col>9</xdr:col>
      <xdr:colOff>0</xdr:colOff>
      <xdr:row>12</xdr:row>
      <xdr:rowOff>123825</xdr:rowOff>
    </xdr:to>
    <xdr:grpSp>
      <xdr:nvGrpSpPr>
        <xdr:cNvPr id="28" name="Group 27"/>
        <xdr:cNvGrpSpPr/>
      </xdr:nvGrpSpPr>
      <xdr:grpSpPr>
        <a:xfrm>
          <a:off x="28575" y="2457450"/>
          <a:ext cx="5591175" cy="647700"/>
          <a:chOff x="3977473" y="11255891"/>
          <a:chExt cx="1965263" cy="245179"/>
        </a:xfrm>
        <a:effectLst>
          <a:outerShdw blurRad="63500" sx="102000" sy="102000" algn="ctr" rotWithShape="0">
            <a:prstClr val="black">
              <a:alpha val="40000"/>
            </a:prstClr>
          </a:outerShdw>
        </a:effectLst>
      </xdr:grpSpPr>
      <xdr:sp macro="" textlink="">
        <xdr:nvSpPr>
          <xdr:cNvPr id="29" name="Rectangle 28"/>
          <xdr:cNvSpPr/>
        </xdr:nvSpPr>
        <xdr:spPr>
          <a:xfrm>
            <a:off x="3988773" y="11300452"/>
            <a:ext cx="1348662" cy="182904"/>
          </a:xfrm>
          <a:prstGeom prst="rect">
            <a:avLst/>
          </a:prstGeom>
          <a:solidFill>
            <a:srgbClr val="FFFFFF">
              <a:alpha val="85000"/>
            </a:srgbClr>
          </a:solidFill>
          <a:ln>
            <a:noFill/>
          </a:ln>
        </xdr:spPr>
        <xdr:style>
          <a:lnRef idx="2">
            <a:schemeClr val="accent1"/>
          </a:lnRef>
          <a:fillRef idx="1">
            <a:schemeClr val="bg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2400"/>
          </a:p>
        </xdr:txBody>
      </xdr:sp>
      <xdr:sp macro="" textlink="">
        <xdr:nvSpPr>
          <xdr:cNvPr id="30" name="TextBox 29"/>
          <xdr:cNvSpPr txBox="1"/>
        </xdr:nvSpPr>
        <xdr:spPr>
          <a:xfrm>
            <a:off x="3977473" y="11255891"/>
            <a:ext cx="1294617" cy="245179"/>
          </a:xfrm>
          <a:prstGeom prst="rect">
            <a:avLst/>
          </a:prstGeom>
          <a:noFill/>
          <a:ln w="9525" cmpd="sng">
            <a:noFill/>
          </a:ln>
          <a:effectLst>
            <a:glow rad="25400">
              <a:schemeClr val="bg1"/>
            </a:glow>
          </a:effectLst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180000" tIns="144000" rtlCol="0" anchor="t"/>
          <a:lstStyle/>
          <a:p>
            <a:r>
              <a:rPr lang="en-GB" sz="1400" b="0">
                <a:solidFill>
                  <a:srgbClr val="FF0000"/>
                </a:solidFill>
                <a:effectLst/>
                <a:latin typeface="Franklin Gothic Medium Cond" pitchFamily="34" charset="0"/>
                <a:ea typeface="+mn-ea"/>
                <a:cs typeface="+mn-cs"/>
              </a:rPr>
              <a:t>Estimated</a:t>
            </a:r>
            <a:r>
              <a:rPr lang="en-GB" sz="1400" b="0" baseline="0">
                <a:solidFill>
                  <a:srgbClr val="FF0000"/>
                </a:solidFill>
                <a:effectLst/>
                <a:latin typeface="Franklin Gothic Medium Cond" pitchFamily="34" charset="0"/>
                <a:ea typeface="+mn-ea"/>
                <a:cs typeface="+mn-cs"/>
              </a:rPr>
              <a:t> number of </a:t>
            </a:r>
            <a:r>
              <a:rPr lang="en-GB" sz="1400" b="0">
                <a:solidFill>
                  <a:srgbClr val="FF0000"/>
                </a:solidFill>
                <a:effectLst/>
                <a:latin typeface="Franklin Gothic Medium Cond" pitchFamily="34" charset="0"/>
                <a:ea typeface="+mn-ea"/>
                <a:cs typeface="+mn-cs"/>
              </a:rPr>
              <a:t>IDP  </a:t>
            </a:r>
            <a:r>
              <a:rPr lang="en-GB" sz="1400" b="0" u="sng">
                <a:solidFill>
                  <a:srgbClr val="FF0000"/>
                </a:solidFill>
                <a:effectLst/>
                <a:latin typeface="Franklin Gothic Medium Cond" pitchFamily="34" charset="0"/>
                <a:ea typeface="+mn-ea"/>
                <a:cs typeface="+mn-cs"/>
              </a:rPr>
              <a:t>without</a:t>
            </a:r>
            <a:r>
              <a:rPr lang="en-GB" sz="1400" b="0">
                <a:solidFill>
                  <a:srgbClr val="FF0000"/>
                </a:solidFill>
                <a:effectLst/>
                <a:latin typeface="Franklin Gothic Medium Cond" pitchFamily="34" charset="0"/>
                <a:ea typeface="+mn-ea"/>
                <a:cs typeface="+mn-cs"/>
              </a:rPr>
              <a:t>  temporary or permanent</a:t>
            </a:r>
            <a:r>
              <a:rPr lang="en-GB" sz="1400" b="0" baseline="0">
                <a:solidFill>
                  <a:srgbClr val="FF0000"/>
                </a:solidFill>
                <a:effectLst/>
                <a:latin typeface="Franklin Gothic Medium Cond" pitchFamily="34" charset="0"/>
                <a:ea typeface="+mn-ea"/>
                <a:cs typeface="+mn-cs"/>
              </a:rPr>
              <a:t>  s</a:t>
            </a:r>
            <a:r>
              <a:rPr lang="en-GB" sz="1400" b="0">
                <a:solidFill>
                  <a:srgbClr val="FF0000"/>
                </a:solidFill>
                <a:effectLst/>
                <a:latin typeface="Franklin Gothic Medium Cond" pitchFamily="34" charset="0"/>
                <a:ea typeface="+mn-ea"/>
                <a:cs typeface="+mn-cs"/>
              </a:rPr>
              <a:t>helter</a:t>
            </a:r>
            <a:endParaRPr lang="en-GB" sz="1400">
              <a:solidFill>
                <a:srgbClr val="FF0000"/>
              </a:solidFill>
              <a:effectLst/>
              <a:latin typeface="Franklin Gothic Medium Cond" pitchFamily="34" charset="0"/>
            </a:endParaRPr>
          </a:p>
        </xdr:txBody>
      </xdr:sp>
      <xdr:sp macro="" textlink="$W$57">
        <xdr:nvSpPr>
          <xdr:cNvPr id="31" name="Rectangle 30"/>
          <xdr:cNvSpPr/>
        </xdr:nvSpPr>
        <xdr:spPr>
          <a:xfrm>
            <a:off x="5172844" y="11296652"/>
            <a:ext cx="769892" cy="190872"/>
          </a:xfrm>
          <a:prstGeom prst="rect">
            <a:avLst/>
          </a:prstGeom>
          <a:solidFill>
            <a:srgbClr val="FF0000"/>
          </a:solidFill>
          <a:ln w="6350">
            <a:solidFill>
              <a:schemeClr val="bg1">
                <a:lumMod val="85000"/>
              </a:schemeClr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tIns="0" rtlCol="0" anchor="ctr"/>
          <a:lstStyle/>
          <a:p>
            <a:pPr algn="ctr"/>
            <a:fld id="{1E4EBA4B-A369-495E-9A44-87163F77BF93}" type="TxLink">
              <a:rPr lang="en-US" sz="2800">
                <a:latin typeface="Franklin Gothic Demi Cond" pitchFamily="34" charset="0"/>
              </a:rPr>
              <a:pPr algn="ctr"/>
              <a:t> 58,951 </a:t>
            </a:fld>
            <a:endParaRPr lang="en-US" sz="2800">
              <a:latin typeface="Franklin Gothic Demi Cond" pitchFamily="34" charset="0"/>
            </a:endParaRPr>
          </a:p>
        </xdr:txBody>
      </xdr:sp>
    </xdr:grpSp>
    <xdr:clientData/>
  </xdr:twoCellAnchor>
  <xdr:twoCellAnchor>
    <xdr:from>
      <xdr:col>0</xdr:col>
      <xdr:colOff>57150</xdr:colOff>
      <xdr:row>13</xdr:row>
      <xdr:rowOff>19050</xdr:rowOff>
    </xdr:from>
    <xdr:to>
      <xdr:col>5</xdr:col>
      <xdr:colOff>419100</xdr:colOff>
      <xdr:row>28</xdr:row>
      <xdr:rowOff>0</xdr:rowOff>
    </xdr:to>
    <xdr:graphicFrame macro="">
      <xdr:nvGraphicFramePr>
        <xdr:cNvPr id="32" name="Chart 31"/>
        <xdr:cNvGraphicFramePr/>
      </xdr:nvGraphicFramePr>
      <xdr:xfrm>
        <a:off x="57150" y="3200400"/>
        <a:ext cx="3248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29</xdr:row>
      <xdr:rowOff>76200</xdr:rowOff>
    </xdr:from>
    <xdr:to>
      <xdr:col>12</xdr:col>
      <xdr:colOff>571500</xdr:colOff>
      <xdr:row>45</xdr:row>
      <xdr:rowOff>123825</xdr:rowOff>
    </xdr:to>
    <xdr:graphicFrame macro="">
      <xdr:nvGraphicFramePr>
        <xdr:cNvPr id="33" name="Chart 32"/>
        <xdr:cNvGraphicFramePr/>
      </xdr:nvGraphicFramePr>
      <xdr:xfrm>
        <a:off x="4781550" y="6381750"/>
        <a:ext cx="3238500" cy="3095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8</xdr:col>
      <xdr:colOff>0</xdr:colOff>
      <xdr:row>45</xdr:row>
      <xdr:rowOff>85725</xdr:rowOff>
    </xdr:to>
    <xdr:graphicFrame macro="">
      <xdr:nvGraphicFramePr>
        <xdr:cNvPr id="34" name="Chart 33"/>
        <xdr:cNvGraphicFramePr/>
      </xdr:nvGraphicFramePr>
      <xdr:xfrm>
        <a:off x="0" y="6410325"/>
        <a:ext cx="4781550" cy="3028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285750</xdr:colOff>
      <xdr:row>15</xdr:row>
      <xdr:rowOff>152400</xdr:rowOff>
    </xdr:from>
    <xdr:to>
      <xdr:col>14</xdr:col>
      <xdr:colOff>485775</xdr:colOff>
      <xdr:row>16</xdr:row>
      <xdr:rowOff>200025</xdr:rowOff>
    </xdr:to>
    <xdr:sp macro="" textlink="">
      <xdr:nvSpPr>
        <xdr:cNvPr id="35" name="TextBox 34"/>
        <xdr:cNvSpPr txBox="1"/>
      </xdr:nvSpPr>
      <xdr:spPr>
        <a:xfrm>
          <a:off x="8343900" y="3733800"/>
          <a:ext cx="8096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>
              <a:solidFill>
                <a:schemeClr val="bg1"/>
              </a:solidFill>
            </a:rPr>
            <a:t>Rathedaung</a:t>
          </a:r>
        </a:p>
      </xdr:txBody>
    </xdr:sp>
    <xdr:clientData/>
  </xdr:twoCellAnchor>
  <xdr:twoCellAnchor>
    <xdr:from>
      <xdr:col>25</xdr:col>
      <xdr:colOff>0</xdr:colOff>
      <xdr:row>23</xdr:row>
      <xdr:rowOff>57150</xdr:rowOff>
    </xdr:from>
    <xdr:to>
      <xdr:col>25</xdr:col>
      <xdr:colOff>571500</xdr:colOff>
      <xdr:row>25</xdr:row>
      <xdr:rowOff>38100</xdr:rowOff>
    </xdr:to>
    <xdr:grpSp>
      <xdr:nvGrpSpPr>
        <xdr:cNvPr id="36" name="Group 35"/>
        <xdr:cNvGrpSpPr/>
      </xdr:nvGrpSpPr>
      <xdr:grpSpPr>
        <a:xfrm>
          <a:off x="17268825" y="5219700"/>
          <a:ext cx="571500" cy="361950"/>
          <a:chOff x="8524874" y="4310063"/>
          <a:chExt cx="1166813" cy="367685"/>
        </a:xfrm>
      </xdr:grpSpPr>
      <xdr:sp macro="" textlink="">
        <xdr:nvSpPr>
          <xdr:cNvPr id="37" name="TextBox 36"/>
          <xdr:cNvSpPr txBox="1"/>
        </xdr:nvSpPr>
        <xdr:spPr>
          <a:xfrm>
            <a:off x="8524874" y="4393436"/>
            <a:ext cx="614035" cy="2843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>
                <a:solidFill>
                  <a:sysClr val="windowText" lastClr="000000"/>
                </a:solidFill>
              </a:rPr>
              <a:t>Sittwe</a:t>
            </a:r>
          </a:p>
        </xdr:txBody>
      </xdr:sp>
      <xdr:cxnSp macro="">
        <xdr:nvCxnSpPr>
          <xdr:cNvPr id="38" name="Straight Connector 37"/>
          <xdr:cNvCxnSpPr>
            <a:stCxn id="37" idx="3"/>
          </xdr:cNvCxnSpPr>
        </xdr:nvCxnSpPr>
        <xdr:spPr>
          <a:xfrm flipV="1">
            <a:off x="9138909" y="4310063"/>
            <a:ext cx="552778" cy="225483"/>
          </a:xfrm>
          <a:prstGeom prst="line">
            <a:avLst/>
          </a:prstGeom>
          <a:ln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190500</xdr:colOff>
      <xdr:row>0</xdr:row>
      <xdr:rowOff>438150</xdr:rowOff>
    </xdr:to>
    <xdr:sp macro="" textlink="">
      <xdr:nvSpPr>
        <xdr:cNvPr id="39" name="Rounded Rectangle 38">
          <a:hlinkClick r:id="rId5"/>
        </xdr:cNvPr>
        <xdr:cNvSpPr/>
      </xdr:nvSpPr>
      <xdr:spPr>
        <a:xfrm>
          <a:off x="19050" y="0"/>
          <a:ext cx="1438275" cy="438150"/>
        </a:xfrm>
        <a:prstGeom prst="roundRect">
          <a:avLst/>
        </a:prstGeom>
        <a:ln>
          <a:solidFill>
            <a:schemeClr val="accent6">
              <a:lumMod val="60000"/>
              <a:lumOff val="40000"/>
            </a:schemeClr>
          </a:solidFill>
          <a:headEnd type="none"/>
          <a:tailEnd type="non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Home</a:t>
          </a:r>
        </a:p>
      </xdr:txBody>
    </xdr:sp>
    <xdr:clientData/>
  </xdr:twoCellAnchor>
  <xdr:twoCellAnchor>
    <xdr:from>
      <xdr:col>12</xdr:col>
      <xdr:colOff>352425</xdr:colOff>
      <xdr:row>1</xdr:row>
      <xdr:rowOff>0</xdr:rowOff>
    </xdr:from>
    <xdr:to>
      <xdr:col>19</xdr:col>
      <xdr:colOff>828675</xdr:colOff>
      <xdr:row>1</xdr:row>
      <xdr:rowOff>457200</xdr:rowOff>
    </xdr:to>
    <xdr:grpSp>
      <xdr:nvGrpSpPr>
        <xdr:cNvPr id="41" name="Group 40"/>
        <xdr:cNvGrpSpPr/>
      </xdr:nvGrpSpPr>
      <xdr:grpSpPr>
        <a:xfrm>
          <a:off x="7800975" y="457200"/>
          <a:ext cx="4743450" cy="457200"/>
          <a:chOff x="8584406" y="94693"/>
          <a:chExt cx="5024438" cy="409524"/>
        </a:xfrm>
      </xdr:grpSpPr>
      <xdr:pic>
        <xdr:nvPicPr>
          <xdr:cNvPr id="42" name="Picture 41"/>
          <xdr:cNvPicPr preferRelativeResize="1">
            <a:picLocks noChangeAspect="1"/>
          </xdr:cNvPicPr>
        </xdr:nvPicPr>
        <xdr:blipFill>
          <a:blip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84406" y="94693"/>
            <a:ext cx="409492" cy="409524"/>
          </a:xfrm>
          <a:prstGeom prst="rect">
            <a:avLst/>
          </a:prstGeom>
          <a:ln>
            <a:noFill/>
          </a:ln>
        </xdr:spPr>
      </xdr:pic>
      <xdr:pic>
        <xdr:nvPicPr>
          <xdr:cNvPr id="43" name="Picture 42"/>
          <xdr:cNvPicPr preferRelativeResize="1">
            <a:picLocks noChangeAspect="1"/>
          </xdr:cNvPicPr>
        </xdr:nvPicPr>
        <xdr:blipFill>
          <a:blip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25300" y="97662"/>
            <a:ext cx="399443" cy="400003"/>
          </a:xfrm>
          <a:prstGeom prst="rect">
            <a:avLst/>
          </a:prstGeom>
          <a:ln>
            <a:noFill/>
          </a:ln>
        </xdr:spPr>
      </xdr:pic>
      <xdr:pic>
        <xdr:nvPicPr>
          <xdr:cNvPr id="44" name="Picture 43"/>
          <xdr:cNvPicPr preferRelativeResize="1">
            <a:picLocks noChangeAspect="1"/>
          </xdr:cNvPicPr>
        </xdr:nvPicPr>
        <xdr:blipFill>
          <a:blip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464939" y="94693"/>
            <a:ext cx="409492" cy="409524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45" name="TextBox 1"/>
          <xdr:cNvSpPr txBox="1"/>
        </xdr:nvSpPr>
        <xdr:spPr>
          <a:xfrm>
            <a:off x="9929699" y="102986"/>
            <a:ext cx="3679145" cy="3929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20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Shelter/NFI/CCCM Cluster</a:t>
            </a:r>
          </a:p>
          <a:p>
            <a:r>
              <a:rPr lang="en-US" sz="20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 </a:t>
            </a:r>
          </a:p>
        </xdr:txBody>
      </xdr:sp>
    </xdr:grpSp>
    <xdr:clientData/>
  </xdr:twoCellAnchor>
  <xdr:twoCellAnchor>
    <xdr:from>
      <xdr:col>11</xdr:col>
      <xdr:colOff>0</xdr:colOff>
      <xdr:row>14</xdr:row>
      <xdr:rowOff>0</xdr:rowOff>
    </xdr:from>
    <xdr:to>
      <xdr:col>18</xdr:col>
      <xdr:colOff>352425</xdr:colOff>
      <xdr:row>27</xdr:row>
      <xdr:rowOff>152400</xdr:rowOff>
    </xdr:to>
    <xdr:graphicFrame macro="">
      <xdr:nvGraphicFramePr>
        <xdr:cNvPr id="46" name="Chart 45"/>
        <xdr:cNvGraphicFramePr/>
      </xdr:nvGraphicFramePr>
      <xdr:xfrm>
        <a:off x="6838950" y="3381375"/>
        <a:ext cx="4619625" cy="2695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35</xdr:col>
          <xdr:colOff>247650</xdr:colOff>
          <xdr:row>28</xdr:row>
          <xdr:rowOff>142875</xdr:rowOff>
        </xdr:from>
        <xdr:to>
          <xdr:col>39</xdr:col>
          <xdr:colOff>47625</xdr:colOff>
          <xdr:row>32</xdr:row>
          <xdr:rowOff>28575</xdr:rowOff>
        </xdr:to>
        <xdr:sp macro="" textlink="">
          <xdr:nvSpPr>
            <xdr:cNvPr id="37889" name="Button 1" hidden="1">
              <a:extLst xmlns:a="http://schemas.openxmlformats.org/drawingml/2006/main">
                <a:ext uri="{63B3BB69-23CF-44E3-9099-C40C66FF867C}">
                  <a14:compatExt spid="_x0000_s37889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27432" rIns="27432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Calculate</a:t>
              </a:r>
            </a:p>
          </xdr:txBody>
        </xdr:sp>
        <xdr:clientData fPrintsWithSheet="0"/>
      </xdr:twoCellAnchor>
    </mc:Choice>
    <mc:Fallback/>
  </mc:AlternateContent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2</xdr:col>
      <xdr:colOff>266700</xdr:colOff>
      <xdr:row>0</xdr:row>
      <xdr:rowOff>438150</xdr:rowOff>
    </xdr:to>
    <xdr:sp macro="" textlink="">
      <xdr:nvSpPr>
        <xdr:cNvPr id="2" name="Rounded Rectangle 1">
          <a:hlinkClick r:id="rId1"/>
        </xdr:cNvPr>
        <xdr:cNvSpPr/>
      </xdr:nvSpPr>
      <xdr:spPr>
        <a:xfrm>
          <a:off x="95250" y="0"/>
          <a:ext cx="1438275" cy="438150"/>
        </a:xfrm>
        <a:prstGeom prst="roundRect">
          <a:avLst/>
        </a:prstGeom>
        <a:ln>
          <a:solidFill>
            <a:schemeClr val="accent6">
              <a:lumMod val="60000"/>
              <a:lumOff val="40000"/>
            </a:schemeClr>
          </a:solidFill>
          <a:headEnd type="none"/>
          <a:tailEnd type="non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Home</a:t>
          </a:r>
        </a:p>
      </xdr:txBody>
    </xdr:sp>
    <xdr:clientData/>
  </xdr:twoCellAnchor>
  <xdr:twoCellAnchor>
    <xdr:from>
      <xdr:col>4</xdr:col>
      <xdr:colOff>323850</xdr:colOff>
      <xdr:row>0</xdr:row>
      <xdr:rowOff>28575</xdr:rowOff>
    </xdr:from>
    <xdr:to>
      <xdr:col>6</xdr:col>
      <xdr:colOff>276225</xdr:colOff>
      <xdr:row>1</xdr:row>
      <xdr:rowOff>0</xdr:rowOff>
    </xdr:to>
    <xdr:sp macro="" textlink="">
      <xdr:nvSpPr>
        <xdr:cNvPr id="3" name="Rounded Rectangle 2">
          <a:hlinkClick r:id="rId2"/>
        </xdr:cNvPr>
        <xdr:cNvSpPr/>
      </xdr:nvSpPr>
      <xdr:spPr>
        <a:xfrm>
          <a:off x="4686300" y="28575"/>
          <a:ext cx="1438275" cy="428625"/>
        </a:xfrm>
        <a:prstGeom prst="roundRect">
          <a:avLst/>
        </a:prstGeom>
        <a:ln>
          <a:solidFill>
            <a:schemeClr val="accent6">
              <a:lumMod val="60000"/>
              <a:lumOff val="40000"/>
            </a:schemeClr>
          </a:solidFill>
          <a:headEnd type="none"/>
          <a:tailEnd type="non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 b="1" baseline="0"/>
            <a:t>NFI  Township</a:t>
          </a:r>
          <a:endParaRPr lang="en-US" sz="1100" b="1"/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3</xdr:col>
      <xdr:colOff>190500</xdr:colOff>
      <xdr:row>0</xdr:row>
      <xdr:rowOff>438150</xdr:rowOff>
    </xdr:to>
    <xdr:sp macro="" textlink="">
      <xdr:nvSpPr>
        <xdr:cNvPr id="5" name="Rounded Rectangle 4">
          <a:hlinkClick r:id="rId3"/>
        </xdr:cNvPr>
        <xdr:cNvSpPr/>
      </xdr:nvSpPr>
      <xdr:spPr>
        <a:xfrm>
          <a:off x="1628775" y="0"/>
          <a:ext cx="1447800" cy="438150"/>
        </a:xfrm>
        <a:prstGeom prst="roundRect">
          <a:avLst/>
        </a:prstGeom>
        <a:ln>
          <a:solidFill>
            <a:schemeClr val="accent6">
              <a:lumMod val="60000"/>
              <a:lumOff val="40000"/>
            </a:schemeClr>
          </a:solidFill>
          <a:headEnd type="none"/>
          <a:tailEnd type="non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 b="1" baseline="0"/>
            <a:t>NFI  Summary</a:t>
          </a:r>
          <a:endParaRPr lang="en-US" sz="1100" b="1"/>
        </a:p>
      </xdr:txBody>
    </xdr:sp>
    <xdr:clientData/>
  </xdr:twoCellAnchor>
  <xdr:twoCellAnchor>
    <xdr:from>
      <xdr:col>3</xdr:col>
      <xdr:colOff>238125</xdr:colOff>
      <xdr:row>0</xdr:row>
      <xdr:rowOff>0</xdr:rowOff>
    </xdr:from>
    <xdr:to>
      <xdr:col>4</xdr:col>
      <xdr:colOff>200025</xdr:colOff>
      <xdr:row>0</xdr:row>
      <xdr:rowOff>438150</xdr:rowOff>
    </xdr:to>
    <xdr:sp macro="" textlink="">
      <xdr:nvSpPr>
        <xdr:cNvPr id="6" name="Rounded Rectangle 5">
          <a:hlinkClick r:id="rId4"/>
        </xdr:cNvPr>
        <xdr:cNvSpPr/>
      </xdr:nvSpPr>
      <xdr:spPr>
        <a:xfrm>
          <a:off x="3124200" y="0"/>
          <a:ext cx="1438275" cy="438150"/>
        </a:xfrm>
        <a:prstGeom prst="roundRect">
          <a:avLst/>
        </a:prstGeom>
        <a:ln>
          <a:solidFill>
            <a:schemeClr val="accent6">
              <a:lumMod val="60000"/>
              <a:lumOff val="40000"/>
            </a:schemeClr>
          </a:solidFill>
          <a:headEnd type="none"/>
          <a:tailEnd type="non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 b="1" baseline="0"/>
            <a:t>NFI  Agency</a:t>
          </a:r>
          <a:endParaRPr lang="en-US" sz="1100" b="1"/>
        </a:p>
      </xdr:txBody>
    </xdr:sp>
    <xdr:clientData/>
  </xdr:twoCellAnchor>
  <xdr:twoCellAnchor>
    <xdr:from>
      <xdr:col>6</xdr:col>
      <xdr:colOff>1304925</xdr:colOff>
      <xdr:row>0</xdr:row>
      <xdr:rowOff>447675</xdr:rowOff>
    </xdr:from>
    <xdr:to>
      <xdr:col>14</xdr:col>
      <xdr:colOff>409575</xdr:colOff>
      <xdr:row>1</xdr:row>
      <xdr:rowOff>438150</xdr:rowOff>
    </xdr:to>
    <xdr:grpSp>
      <xdr:nvGrpSpPr>
        <xdr:cNvPr id="7" name="Group 6"/>
        <xdr:cNvGrpSpPr/>
      </xdr:nvGrpSpPr>
      <xdr:grpSpPr>
        <a:xfrm>
          <a:off x="7153275" y="447675"/>
          <a:ext cx="4676775" cy="447675"/>
          <a:chOff x="8584406" y="94693"/>
          <a:chExt cx="5024438" cy="409524"/>
        </a:xfrm>
      </xdr:grpSpPr>
      <xdr:pic>
        <xdr:nvPicPr>
          <xdr:cNvPr id="8" name="Picture 7"/>
          <xdr:cNvPicPr preferRelativeResize="1">
            <a:picLocks noChangeAspect="1"/>
          </xdr:cNvPicPr>
        </xdr:nvPicPr>
        <xdr:blipFill>
          <a:blip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84406" y="94693"/>
            <a:ext cx="409492" cy="409524"/>
          </a:xfrm>
          <a:prstGeom prst="rect">
            <a:avLst/>
          </a:prstGeom>
          <a:ln>
            <a:noFill/>
          </a:ln>
        </xdr:spPr>
      </xdr:pic>
      <xdr:pic>
        <xdr:nvPicPr>
          <xdr:cNvPr id="9" name="Picture 8"/>
          <xdr:cNvPicPr preferRelativeResize="1">
            <a:picLocks noChangeAspect="1"/>
          </xdr:cNvPicPr>
        </xdr:nvPicPr>
        <xdr:blipFill>
          <a:blip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25300" y="97662"/>
            <a:ext cx="399443" cy="400003"/>
          </a:xfrm>
          <a:prstGeom prst="rect">
            <a:avLst/>
          </a:prstGeom>
          <a:ln>
            <a:noFill/>
          </a:ln>
        </xdr:spPr>
      </xdr:pic>
      <xdr:pic>
        <xdr:nvPicPr>
          <xdr:cNvPr id="10" name="Picture 9"/>
          <xdr:cNvPicPr preferRelativeResize="1">
            <a:picLocks noChangeAspect="1"/>
          </xdr:cNvPicPr>
        </xdr:nvPicPr>
        <xdr:blipFill>
          <a:blip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464939" y="94693"/>
            <a:ext cx="409492" cy="409524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11" name="TextBox 1"/>
          <xdr:cNvSpPr txBox="1"/>
        </xdr:nvSpPr>
        <xdr:spPr>
          <a:xfrm>
            <a:off x="9929699" y="102986"/>
            <a:ext cx="3679145" cy="3929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20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Shelter/NFI/CCCM Cluster</a:t>
            </a:r>
          </a:p>
          <a:p>
            <a:r>
              <a:rPr lang="en-US" sz="20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 </a:t>
            </a:r>
          </a:p>
        </xdr:txBody>
      </xdr:sp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695325</xdr:colOff>
      <xdr:row>0</xdr:row>
      <xdr:rowOff>438150</xdr:rowOff>
    </xdr:to>
    <xdr:sp macro="" textlink="">
      <xdr:nvSpPr>
        <xdr:cNvPr id="6" name="Rounded Rectangle 5">
          <a:hlinkClick r:id="rId1"/>
        </xdr:cNvPr>
        <xdr:cNvSpPr/>
      </xdr:nvSpPr>
      <xdr:spPr>
        <a:xfrm>
          <a:off x="0" y="0"/>
          <a:ext cx="1447800" cy="438150"/>
        </a:xfrm>
        <a:prstGeom prst="roundRect">
          <a:avLst/>
        </a:prstGeom>
        <a:ln>
          <a:solidFill>
            <a:schemeClr val="accent6">
              <a:lumMod val="60000"/>
              <a:lumOff val="40000"/>
            </a:schemeClr>
          </a:solidFill>
          <a:headEnd type="none"/>
          <a:tailEnd type="non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Home</a:t>
          </a:r>
        </a:p>
      </xdr:txBody>
    </xdr:sp>
    <xdr:clientData/>
  </xdr:twoCellAnchor>
  <xdr:twoCellAnchor>
    <xdr:from>
      <xdr:col>5</xdr:col>
      <xdr:colOff>276225</xdr:colOff>
      <xdr:row>0</xdr:row>
      <xdr:rowOff>28575</xdr:rowOff>
    </xdr:from>
    <xdr:to>
      <xdr:col>7</xdr:col>
      <xdr:colOff>552450</xdr:colOff>
      <xdr:row>1</xdr:row>
      <xdr:rowOff>0</xdr:rowOff>
    </xdr:to>
    <xdr:sp macro="" textlink="">
      <xdr:nvSpPr>
        <xdr:cNvPr id="7" name="Rounded Rectangle 6">
          <a:hlinkClick r:id="rId2"/>
        </xdr:cNvPr>
        <xdr:cNvSpPr/>
      </xdr:nvSpPr>
      <xdr:spPr>
        <a:xfrm>
          <a:off x="4591050" y="28575"/>
          <a:ext cx="1457325" cy="428625"/>
        </a:xfrm>
        <a:prstGeom prst="roundRect">
          <a:avLst/>
        </a:prstGeom>
        <a:ln>
          <a:solidFill>
            <a:schemeClr val="accent6">
              <a:lumMod val="60000"/>
              <a:lumOff val="40000"/>
            </a:schemeClr>
          </a:solidFill>
          <a:headEnd type="none"/>
          <a:tailEnd type="non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 b="1" baseline="0"/>
            <a:t>NFI  Township</a:t>
          </a:r>
          <a:endParaRPr lang="en-US" sz="1100" b="1"/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485775</xdr:colOff>
      <xdr:row>0</xdr:row>
      <xdr:rowOff>438150</xdr:rowOff>
    </xdr:to>
    <xdr:sp macro="" textlink="">
      <xdr:nvSpPr>
        <xdr:cNvPr id="8" name="Rounded Rectangle 7">
          <a:hlinkClick r:id="rId3"/>
        </xdr:cNvPr>
        <xdr:cNvSpPr/>
      </xdr:nvSpPr>
      <xdr:spPr>
        <a:xfrm>
          <a:off x="1543050" y="0"/>
          <a:ext cx="1438275" cy="438150"/>
        </a:xfrm>
        <a:prstGeom prst="roundRect">
          <a:avLst/>
        </a:prstGeom>
        <a:ln>
          <a:solidFill>
            <a:schemeClr val="accent6">
              <a:lumMod val="60000"/>
              <a:lumOff val="40000"/>
            </a:schemeClr>
          </a:solidFill>
          <a:headEnd type="none"/>
          <a:tailEnd type="non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 b="1" baseline="0"/>
            <a:t>NFI  Summary</a:t>
          </a:r>
          <a:endParaRPr lang="en-US" sz="1100" b="1"/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5</xdr:col>
      <xdr:colOff>152400</xdr:colOff>
      <xdr:row>0</xdr:row>
      <xdr:rowOff>438150</xdr:rowOff>
    </xdr:to>
    <xdr:sp macro="" textlink="">
      <xdr:nvSpPr>
        <xdr:cNvPr id="9" name="Rounded Rectangle 8">
          <a:hlinkClick r:id="rId4"/>
        </xdr:cNvPr>
        <xdr:cNvSpPr/>
      </xdr:nvSpPr>
      <xdr:spPr>
        <a:xfrm>
          <a:off x="3028950" y="0"/>
          <a:ext cx="1438275" cy="438150"/>
        </a:xfrm>
        <a:prstGeom prst="roundRect">
          <a:avLst/>
        </a:prstGeom>
        <a:ln>
          <a:solidFill>
            <a:schemeClr val="accent6">
              <a:lumMod val="60000"/>
              <a:lumOff val="40000"/>
            </a:schemeClr>
          </a:solidFill>
          <a:headEnd type="none"/>
          <a:tailEnd type="non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 b="1" baseline="0"/>
            <a:t>NFI  Agency</a:t>
          </a:r>
          <a:endParaRPr lang="en-US" sz="1100" b="1"/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29</xdr:col>
      <xdr:colOff>0</xdr:colOff>
      <xdr:row>1</xdr:row>
      <xdr:rowOff>457200</xdr:rowOff>
    </xdr:to>
    <xdr:grpSp>
      <xdr:nvGrpSpPr>
        <xdr:cNvPr id="10" name="Group 9"/>
        <xdr:cNvGrpSpPr/>
      </xdr:nvGrpSpPr>
      <xdr:grpSpPr>
        <a:xfrm>
          <a:off x="13763625" y="457200"/>
          <a:ext cx="4724400" cy="457200"/>
          <a:chOff x="8584406" y="94693"/>
          <a:chExt cx="5024438" cy="409524"/>
        </a:xfrm>
      </xdr:grpSpPr>
      <xdr:pic>
        <xdr:nvPicPr>
          <xdr:cNvPr id="11" name="Picture 10"/>
          <xdr:cNvPicPr preferRelativeResize="1">
            <a:picLocks noChangeAspect="1"/>
          </xdr:cNvPicPr>
        </xdr:nvPicPr>
        <xdr:blipFill>
          <a:blip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84406" y="94693"/>
            <a:ext cx="409492" cy="409524"/>
          </a:xfrm>
          <a:prstGeom prst="rect">
            <a:avLst/>
          </a:prstGeom>
          <a:ln>
            <a:noFill/>
          </a:ln>
        </xdr:spPr>
      </xdr:pic>
      <xdr:pic>
        <xdr:nvPicPr>
          <xdr:cNvPr id="12" name="Picture 11"/>
          <xdr:cNvPicPr preferRelativeResize="1">
            <a:picLocks noChangeAspect="1"/>
          </xdr:cNvPicPr>
        </xdr:nvPicPr>
        <xdr:blipFill>
          <a:blip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25300" y="97662"/>
            <a:ext cx="399443" cy="400003"/>
          </a:xfrm>
          <a:prstGeom prst="rect">
            <a:avLst/>
          </a:prstGeom>
          <a:ln>
            <a:noFill/>
          </a:ln>
        </xdr:spPr>
      </xdr:pic>
      <xdr:pic>
        <xdr:nvPicPr>
          <xdr:cNvPr id="13" name="Picture 12"/>
          <xdr:cNvPicPr preferRelativeResize="1">
            <a:picLocks noChangeAspect="1"/>
          </xdr:cNvPicPr>
        </xdr:nvPicPr>
        <xdr:blipFill>
          <a:blip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464939" y="94693"/>
            <a:ext cx="409492" cy="409524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14" name="TextBox 1"/>
          <xdr:cNvSpPr txBox="1"/>
        </xdr:nvSpPr>
        <xdr:spPr>
          <a:xfrm>
            <a:off x="9929699" y="102986"/>
            <a:ext cx="3679145" cy="3929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20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Shelter/NFI/CCCM Cluster</a:t>
            </a:r>
          </a:p>
          <a:p>
            <a:r>
              <a:rPr lang="en-US" sz="20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 </a:t>
            </a:r>
          </a:p>
        </xdr:txBody>
      </xdr:sp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1476375</xdr:colOff>
      <xdr:row>0</xdr:row>
      <xdr:rowOff>438150</xdr:rowOff>
    </xdr:to>
    <xdr:sp macro="" textlink="">
      <xdr:nvSpPr>
        <xdr:cNvPr id="5" name="Rounded Rectangle 4">
          <a:hlinkClick r:id="rId1"/>
        </xdr:cNvPr>
        <xdr:cNvSpPr/>
      </xdr:nvSpPr>
      <xdr:spPr>
        <a:xfrm>
          <a:off x="28575" y="0"/>
          <a:ext cx="1447800" cy="438150"/>
        </a:xfrm>
        <a:prstGeom prst="roundRect">
          <a:avLst/>
        </a:prstGeom>
        <a:ln>
          <a:solidFill>
            <a:schemeClr val="accent6">
              <a:lumMod val="60000"/>
              <a:lumOff val="40000"/>
            </a:schemeClr>
          </a:solidFill>
          <a:headEnd type="none"/>
          <a:tailEnd type="non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Home</a:t>
          </a:r>
        </a:p>
      </xdr:txBody>
    </xdr:sp>
    <xdr:clientData/>
  </xdr:twoCellAnchor>
  <xdr:twoCellAnchor>
    <xdr:from>
      <xdr:col>3</xdr:col>
      <xdr:colOff>47625</xdr:colOff>
      <xdr:row>0</xdr:row>
      <xdr:rowOff>0</xdr:rowOff>
    </xdr:from>
    <xdr:to>
      <xdr:col>4</xdr:col>
      <xdr:colOff>371475</xdr:colOff>
      <xdr:row>0</xdr:row>
      <xdr:rowOff>438150</xdr:rowOff>
    </xdr:to>
    <xdr:sp macro="" textlink="">
      <xdr:nvSpPr>
        <xdr:cNvPr id="6" name="Rounded Rectangle 5">
          <a:hlinkClick r:id="rId2"/>
        </xdr:cNvPr>
        <xdr:cNvSpPr/>
      </xdr:nvSpPr>
      <xdr:spPr>
        <a:xfrm>
          <a:off x="4924425" y="0"/>
          <a:ext cx="1619250" cy="438150"/>
        </a:xfrm>
        <a:prstGeom prst="roundRect">
          <a:avLst/>
        </a:prstGeom>
        <a:ln>
          <a:solidFill>
            <a:schemeClr val="accent6">
              <a:lumMod val="60000"/>
              <a:lumOff val="40000"/>
            </a:schemeClr>
          </a:solidFill>
          <a:headEnd type="none"/>
          <a:tailEnd type="non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 b="1" baseline="0"/>
            <a:t>NFI  Detail Sheet</a:t>
          </a:r>
          <a:endParaRPr lang="en-US" sz="1100" b="1"/>
        </a:p>
      </xdr:txBody>
    </xdr:sp>
    <xdr:clientData/>
  </xdr:twoCellAnchor>
  <xdr:twoCellAnchor>
    <xdr:from>
      <xdr:col>1</xdr:col>
      <xdr:colOff>762000</xdr:colOff>
      <xdr:row>0</xdr:row>
      <xdr:rowOff>0</xdr:rowOff>
    </xdr:from>
    <xdr:to>
      <xdr:col>2</xdr:col>
      <xdr:colOff>1076325</xdr:colOff>
      <xdr:row>0</xdr:row>
      <xdr:rowOff>438150</xdr:rowOff>
    </xdr:to>
    <xdr:sp macro="" textlink="">
      <xdr:nvSpPr>
        <xdr:cNvPr id="7" name="Rounded Rectangle 6">
          <a:hlinkClick r:id="rId3"/>
        </xdr:cNvPr>
        <xdr:cNvSpPr/>
      </xdr:nvSpPr>
      <xdr:spPr>
        <a:xfrm>
          <a:off x="3086100" y="0"/>
          <a:ext cx="1543050" cy="438150"/>
        </a:xfrm>
        <a:prstGeom prst="roundRect">
          <a:avLst/>
        </a:prstGeom>
        <a:ln>
          <a:solidFill>
            <a:schemeClr val="accent6">
              <a:lumMod val="60000"/>
              <a:lumOff val="40000"/>
            </a:schemeClr>
          </a:solidFill>
          <a:headEnd type="none"/>
          <a:tailEnd type="non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 b="1" baseline="0"/>
            <a:t>NFI  Township</a:t>
          </a:r>
          <a:endParaRPr lang="en-US" sz="1100" b="1"/>
        </a:p>
      </xdr:txBody>
    </xdr:sp>
    <xdr:clientData/>
  </xdr:twoCellAnchor>
  <xdr:twoCellAnchor>
    <xdr:from>
      <xdr:col>0</xdr:col>
      <xdr:colOff>1590675</xdr:colOff>
      <xdr:row>0</xdr:row>
      <xdr:rowOff>0</xdr:rowOff>
    </xdr:from>
    <xdr:to>
      <xdr:col>1</xdr:col>
      <xdr:colOff>638175</xdr:colOff>
      <xdr:row>0</xdr:row>
      <xdr:rowOff>438150</xdr:rowOff>
    </xdr:to>
    <xdr:sp macro="" textlink="">
      <xdr:nvSpPr>
        <xdr:cNvPr id="11" name="Rounded Rectangle 10">
          <a:hlinkClick r:id="rId4"/>
        </xdr:cNvPr>
        <xdr:cNvSpPr/>
      </xdr:nvSpPr>
      <xdr:spPr>
        <a:xfrm>
          <a:off x="1590675" y="0"/>
          <a:ext cx="1371600" cy="438150"/>
        </a:xfrm>
        <a:prstGeom prst="roundRect">
          <a:avLst/>
        </a:prstGeom>
        <a:ln>
          <a:solidFill>
            <a:schemeClr val="accent6">
              <a:lumMod val="60000"/>
              <a:lumOff val="40000"/>
            </a:schemeClr>
          </a:solidFill>
          <a:headEnd type="none"/>
          <a:tailEnd type="non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 b="1" baseline="0"/>
            <a:t>NFI  Summary</a:t>
          </a:r>
          <a:endParaRPr lang="en-US" sz="1100" b="1"/>
        </a:p>
      </xdr:txBody>
    </xdr:sp>
    <xdr:clientData/>
  </xdr:twoCellAnchor>
  <xdr:twoCellAnchor>
    <xdr:from>
      <xdr:col>4</xdr:col>
      <xdr:colOff>733425</xdr:colOff>
      <xdr:row>1</xdr:row>
      <xdr:rowOff>47625</xdr:rowOff>
    </xdr:from>
    <xdr:to>
      <xdr:col>9</xdr:col>
      <xdr:colOff>0</xdr:colOff>
      <xdr:row>2</xdr:row>
      <xdr:rowOff>38100</xdr:rowOff>
    </xdr:to>
    <xdr:grpSp>
      <xdr:nvGrpSpPr>
        <xdr:cNvPr id="8" name="Group 7"/>
        <xdr:cNvGrpSpPr/>
      </xdr:nvGrpSpPr>
      <xdr:grpSpPr>
        <a:xfrm>
          <a:off x="6905625" y="504825"/>
          <a:ext cx="6029325" cy="447675"/>
          <a:chOff x="8584406" y="94693"/>
          <a:chExt cx="5024438" cy="409524"/>
        </a:xfrm>
      </xdr:grpSpPr>
      <xdr:pic>
        <xdr:nvPicPr>
          <xdr:cNvPr id="9" name="Picture 8"/>
          <xdr:cNvPicPr preferRelativeResize="1">
            <a:picLocks noChangeAspect="1"/>
          </xdr:cNvPicPr>
        </xdr:nvPicPr>
        <xdr:blipFill>
          <a:blip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84406" y="94693"/>
            <a:ext cx="409492" cy="409524"/>
          </a:xfrm>
          <a:prstGeom prst="rect">
            <a:avLst/>
          </a:prstGeom>
          <a:ln>
            <a:noFill/>
          </a:ln>
        </xdr:spPr>
      </xdr:pic>
      <xdr:pic>
        <xdr:nvPicPr>
          <xdr:cNvPr id="10" name="Picture 9"/>
          <xdr:cNvPicPr preferRelativeResize="1">
            <a:picLocks noChangeAspect="1"/>
          </xdr:cNvPicPr>
        </xdr:nvPicPr>
        <xdr:blipFill>
          <a:blip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25300" y="97662"/>
            <a:ext cx="399443" cy="400003"/>
          </a:xfrm>
          <a:prstGeom prst="rect">
            <a:avLst/>
          </a:prstGeom>
          <a:ln>
            <a:noFill/>
          </a:ln>
        </xdr:spPr>
      </xdr:pic>
      <xdr:pic>
        <xdr:nvPicPr>
          <xdr:cNvPr id="12" name="Picture 11"/>
          <xdr:cNvPicPr preferRelativeResize="1">
            <a:picLocks noChangeAspect="1"/>
          </xdr:cNvPicPr>
        </xdr:nvPicPr>
        <xdr:blipFill>
          <a:blip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464939" y="94693"/>
            <a:ext cx="409492" cy="409524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13" name="TextBox 1"/>
          <xdr:cNvSpPr txBox="1"/>
        </xdr:nvSpPr>
        <xdr:spPr>
          <a:xfrm>
            <a:off x="9929699" y="102986"/>
            <a:ext cx="3679145" cy="3929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20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Shelter/NFI/CCCM Cluster</a:t>
            </a:r>
          </a:p>
          <a:p>
            <a:r>
              <a:rPr lang="en-US" sz="20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 </a:t>
            </a:r>
          </a:p>
        </xdr:txBody>
      </xdr:sp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0</xdr:col>
      <xdr:colOff>1104900</xdr:colOff>
      <xdr:row>1</xdr:row>
      <xdr:rowOff>19050</xdr:rowOff>
    </xdr:to>
    <xdr:sp macro="" textlink="">
      <xdr:nvSpPr>
        <xdr:cNvPr id="2" name="Rounded Rectangle 1">
          <a:hlinkClick r:id="rId1"/>
        </xdr:cNvPr>
        <xdr:cNvSpPr/>
      </xdr:nvSpPr>
      <xdr:spPr>
        <a:xfrm>
          <a:off x="85725" y="9525"/>
          <a:ext cx="1019175" cy="466725"/>
        </a:xfrm>
        <a:prstGeom prst="roundRect">
          <a:avLst/>
        </a:prstGeom>
        <a:ln>
          <a:solidFill>
            <a:schemeClr val="accent6">
              <a:lumMod val="60000"/>
              <a:lumOff val="40000"/>
            </a:schemeClr>
          </a:solidFill>
          <a:headEnd type="none"/>
          <a:tailEnd type="non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Home</a:t>
          </a:r>
        </a:p>
      </xdr:txBody>
    </xdr:sp>
    <xdr:clientData/>
  </xdr:twoCellAnchor>
  <xdr:twoCellAnchor>
    <xdr:from>
      <xdr:col>5</xdr:col>
      <xdr:colOff>161925</xdr:colOff>
      <xdr:row>0</xdr:row>
      <xdr:rowOff>0</xdr:rowOff>
    </xdr:from>
    <xdr:to>
      <xdr:col>7</xdr:col>
      <xdr:colOff>285750</xdr:colOff>
      <xdr:row>1</xdr:row>
      <xdr:rowOff>9525</xdr:rowOff>
    </xdr:to>
    <xdr:sp macro="" textlink="">
      <xdr:nvSpPr>
        <xdr:cNvPr id="3" name="Rounded Rectangle 2">
          <a:hlinkClick r:id="rId2"/>
        </xdr:cNvPr>
        <xdr:cNvSpPr/>
      </xdr:nvSpPr>
      <xdr:spPr>
        <a:xfrm>
          <a:off x="4400550" y="0"/>
          <a:ext cx="1571625" cy="466725"/>
        </a:xfrm>
        <a:prstGeom prst="roundRect">
          <a:avLst/>
        </a:prstGeom>
        <a:ln>
          <a:solidFill>
            <a:schemeClr val="accent6">
              <a:lumMod val="60000"/>
              <a:lumOff val="40000"/>
            </a:schemeClr>
          </a:solidFill>
          <a:headEnd type="none"/>
          <a:tailEnd type="non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 b="1" baseline="0"/>
            <a:t>NFI  Detail Sheet</a:t>
          </a:r>
          <a:endParaRPr lang="en-US" sz="1100" b="1"/>
        </a:p>
      </xdr:txBody>
    </xdr:sp>
    <xdr:clientData/>
  </xdr:twoCellAnchor>
  <xdr:twoCellAnchor>
    <xdr:from>
      <xdr:col>20</xdr:col>
      <xdr:colOff>123825</xdr:colOff>
      <xdr:row>5</xdr:row>
      <xdr:rowOff>0</xdr:rowOff>
    </xdr:from>
    <xdr:to>
      <xdr:col>25</xdr:col>
      <xdr:colOff>304800</xdr:colOff>
      <xdr:row>18</xdr:row>
      <xdr:rowOff>1076325</xdr:rowOff>
    </xdr:to>
    <xdr:graphicFrame macro="">
      <xdr:nvGraphicFramePr>
        <xdr:cNvPr id="4" name="Chart 3"/>
        <xdr:cNvGraphicFramePr/>
      </xdr:nvGraphicFramePr>
      <xdr:xfrm>
        <a:off x="15297150" y="2362200"/>
        <a:ext cx="6410325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152400</xdr:colOff>
      <xdr:row>22</xdr:row>
      <xdr:rowOff>123825</xdr:rowOff>
    </xdr:from>
    <xdr:to>
      <xdr:col>24</xdr:col>
      <xdr:colOff>447675</xdr:colOff>
      <xdr:row>39</xdr:row>
      <xdr:rowOff>142875</xdr:rowOff>
    </xdr:to>
    <xdr:graphicFrame macro="">
      <xdr:nvGraphicFramePr>
        <xdr:cNvPr id="5" name="Chart 4"/>
        <xdr:cNvGraphicFramePr/>
      </xdr:nvGraphicFramePr>
      <xdr:xfrm>
        <a:off x="15325725" y="7981950"/>
        <a:ext cx="5915025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1209675</xdr:colOff>
      <xdr:row>0</xdr:row>
      <xdr:rowOff>9525</xdr:rowOff>
    </xdr:from>
    <xdr:to>
      <xdr:col>2</xdr:col>
      <xdr:colOff>619125</xdr:colOff>
      <xdr:row>1</xdr:row>
      <xdr:rowOff>19050</xdr:rowOff>
    </xdr:to>
    <xdr:sp macro="" textlink="">
      <xdr:nvSpPr>
        <xdr:cNvPr id="6" name="Rounded Rectangle 5">
          <a:hlinkClick r:id="rId5"/>
        </xdr:cNvPr>
        <xdr:cNvSpPr/>
      </xdr:nvSpPr>
      <xdr:spPr>
        <a:xfrm>
          <a:off x="1209675" y="9525"/>
          <a:ext cx="1476375" cy="466725"/>
        </a:xfrm>
        <a:prstGeom prst="roundRect">
          <a:avLst/>
        </a:prstGeom>
        <a:ln>
          <a:solidFill>
            <a:schemeClr val="accent6">
              <a:lumMod val="60000"/>
              <a:lumOff val="40000"/>
            </a:schemeClr>
          </a:solidFill>
          <a:headEnd type="none"/>
          <a:tailEnd type="non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 b="1" baseline="0"/>
            <a:t>NFI  Summary</a:t>
          </a:r>
          <a:endParaRPr lang="en-US" sz="1100" b="1"/>
        </a:p>
      </xdr:txBody>
    </xdr:sp>
    <xdr:clientData/>
  </xdr:twoCellAnchor>
  <xdr:twoCellAnchor>
    <xdr:from>
      <xdr:col>3</xdr:col>
      <xdr:colOff>9525</xdr:colOff>
      <xdr:row>0</xdr:row>
      <xdr:rowOff>9525</xdr:rowOff>
    </xdr:from>
    <xdr:to>
      <xdr:col>5</xdr:col>
      <xdr:colOff>9525</xdr:colOff>
      <xdr:row>1</xdr:row>
      <xdr:rowOff>19050</xdr:rowOff>
    </xdr:to>
    <xdr:sp macro="" textlink="">
      <xdr:nvSpPr>
        <xdr:cNvPr id="7" name="Rounded Rectangle 6">
          <a:hlinkClick r:id="rId6"/>
        </xdr:cNvPr>
        <xdr:cNvSpPr/>
      </xdr:nvSpPr>
      <xdr:spPr>
        <a:xfrm>
          <a:off x="2800350" y="9525"/>
          <a:ext cx="1447800" cy="466725"/>
        </a:xfrm>
        <a:prstGeom prst="roundRect">
          <a:avLst/>
        </a:prstGeom>
        <a:ln>
          <a:solidFill>
            <a:schemeClr val="accent6">
              <a:lumMod val="60000"/>
              <a:lumOff val="40000"/>
            </a:schemeClr>
          </a:solidFill>
          <a:headEnd type="none"/>
          <a:tailEnd type="non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 b="1" baseline="0"/>
            <a:t>NFI  Agency</a:t>
          </a:r>
          <a:endParaRPr lang="en-US" sz="1100" b="1"/>
        </a:p>
      </xdr:txBody>
    </xdr:sp>
    <xdr:clientData/>
  </xdr:twoCellAnchor>
  <xdr:twoCellAnchor>
    <xdr:from>
      <xdr:col>21</xdr:col>
      <xdr:colOff>733425</xdr:colOff>
      <xdr:row>0</xdr:row>
      <xdr:rowOff>428625</xdr:rowOff>
    </xdr:from>
    <xdr:to>
      <xdr:col>25</xdr:col>
      <xdr:colOff>447675</xdr:colOff>
      <xdr:row>1</xdr:row>
      <xdr:rowOff>419100</xdr:rowOff>
    </xdr:to>
    <xdr:grpSp>
      <xdr:nvGrpSpPr>
        <xdr:cNvPr id="8" name="Group 7"/>
        <xdr:cNvGrpSpPr/>
      </xdr:nvGrpSpPr>
      <xdr:grpSpPr>
        <a:xfrm>
          <a:off x="17135475" y="428625"/>
          <a:ext cx="4714875" cy="447675"/>
          <a:chOff x="8584406" y="94693"/>
          <a:chExt cx="5024438" cy="409524"/>
        </a:xfrm>
      </xdr:grpSpPr>
      <xdr:pic>
        <xdr:nvPicPr>
          <xdr:cNvPr id="9" name="Picture 8"/>
          <xdr:cNvPicPr preferRelativeResize="1">
            <a:picLocks noChangeAspect="1"/>
          </xdr:cNvPicPr>
        </xdr:nvPicPr>
        <xdr:blipFill>
          <a:blip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84406" y="94693"/>
            <a:ext cx="409492" cy="409524"/>
          </a:xfrm>
          <a:prstGeom prst="rect">
            <a:avLst/>
          </a:prstGeom>
          <a:ln>
            <a:noFill/>
          </a:ln>
        </xdr:spPr>
      </xdr:pic>
      <xdr:pic>
        <xdr:nvPicPr>
          <xdr:cNvPr id="10" name="Picture 9"/>
          <xdr:cNvPicPr preferRelativeResize="1">
            <a:picLocks noChangeAspect="1"/>
          </xdr:cNvPicPr>
        </xdr:nvPicPr>
        <xdr:blipFill>
          <a:blip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25300" y="97662"/>
            <a:ext cx="399443" cy="400003"/>
          </a:xfrm>
          <a:prstGeom prst="rect">
            <a:avLst/>
          </a:prstGeom>
          <a:ln>
            <a:noFill/>
          </a:ln>
        </xdr:spPr>
      </xdr:pic>
      <xdr:pic>
        <xdr:nvPicPr>
          <xdr:cNvPr id="11" name="Picture 10"/>
          <xdr:cNvPicPr preferRelativeResize="1">
            <a:picLocks noChangeAspect="1"/>
          </xdr:cNvPicPr>
        </xdr:nvPicPr>
        <xdr:blipFill>
          <a:blip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464939" y="94693"/>
            <a:ext cx="409492" cy="409524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12" name="TextBox 1"/>
          <xdr:cNvSpPr txBox="1"/>
        </xdr:nvSpPr>
        <xdr:spPr>
          <a:xfrm>
            <a:off x="9929699" y="102986"/>
            <a:ext cx="3679145" cy="3929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20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Shelter/NFI/CCCM Cluster</a:t>
            </a:r>
          </a:p>
          <a:p>
            <a:r>
              <a:rPr lang="en-US" sz="20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 </a:t>
            </a:r>
          </a:p>
        </xdr:txBody>
      </xdr:sp>
    </xdr:grp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17</xdr:row>
      <xdr:rowOff>47625</xdr:rowOff>
    </xdr:from>
    <xdr:to>
      <xdr:col>4</xdr:col>
      <xdr:colOff>381000</xdr:colOff>
      <xdr:row>33</xdr:row>
      <xdr:rowOff>142875</xdr:rowOff>
    </xdr:to>
    <xdr:graphicFrame macro="">
      <xdr:nvGraphicFramePr>
        <xdr:cNvPr id="2" name="Chart 2"/>
        <xdr:cNvGraphicFramePr/>
      </xdr:nvGraphicFramePr>
      <xdr:xfrm>
        <a:off x="381000" y="4600575"/>
        <a:ext cx="33337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0</xdr:row>
      <xdr:rowOff>9525</xdr:rowOff>
    </xdr:from>
    <xdr:to>
      <xdr:col>1</xdr:col>
      <xdr:colOff>981075</xdr:colOff>
      <xdr:row>0</xdr:row>
      <xdr:rowOff>447675</xdr:rowOff>
    </xdr:to>
    <xdr:sp macro="" textlink="">
      <xdr:nvSpPr>
        <xdr:cNvPr id="8" name="Rounded Rectangle 7">
          <a:hlinkClick r:id="rId2"/>
        </xdr:cNvPr>
        <xdr:cNvSpPr/>
      </xdr:nvSpPr>
      <xdr:spPr>
        <a:xfrm>
          <a:off x="104775" y="9525"/>
          <a:ext cx="1228725" cy="438150"/>
        </a:xfrm>
        <a:prstGeom prst="roundRect">
          <a:avLst/>
        </a:prstGeom>
        <a:ln>
          <a:solidFill>
            <a:schemeClr val="accent6">
              <a:lumMod val="60000"/>
              <a:lumOff val="40000"/>
            </a:schemeClr>
          </a:solidFill>
          <a:headEnd type="none"/>
          <a:tailEnd type="non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Home</a:t>
          </a:r>
        </a:p>
      </xdr:txBody>
    </xdr:sp>
    <xdr:clientData/>
  </xdr:twoCellAnchor>
  <xdr:twoCellAnchor>
    <xdr:from>
      <xdr:col>4</xdr:col>
      <xdr:colOff>514350</xdr:colOff>
      <xdr:row>0</xdr:row>
      <xdr:rowOff>0</xdr:rowOff>
    </xdr:from>
    <xdr:to>
      <xdr:col>6</xdr:col>
      <xdr:colOff>352425</xdr:colOff>
      <xdr:row>0</xdr:row>
      <xdr:rowOff>438150</xdr:rowOff>
    </xdr:to>
    <xdr:sp macro="" textlink="">
      <xdr:nvSpPr>
        <xdr:cNvPr id="9" name="Rounded Rectangle 8">
          <a:hlinkClick r:id="rId3"/>
        </xdr:cNvPr>
        <xdr:cNvSpPr/>
      </xdr:nvSpPr>
      <xdr:spPr>
        <a:xfrm>
          <a:off x="3848100" y="0"/>
          <a:ext cx="1266825" cy="438150"/>
        </a:xfrm>
        <a:prstGeom prst="roundRect">
          <a:avLst/>
        </a:prstGeom>
        <a:ln>
          <a:solidFill>
            <a:schemeClr val="accent6">
              <a:lumMod val="60000"/>
              <a:lumOff val="40000"/>
            </a:schemeClr>
          </a:solidFill>
          <a:headEnd type="none"/>
          <a:tailEnd type="non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 b="1" baseline="0"/>
            <a:t>NFI  Detail Sheet</a:t>
          </a:r>
          <a:endParaRPr lang="en-US" sz="1100" b="1"/>
        </a:p>
      </xdr:txBody>
    </xdr:sp>
    <xdr:clientData/>
  </xdr:twoCellAnchor>
  <xdr:twoCellAnchor>
    <xdr:from>
      <xdr:col>3</xdr:col>
      <xdr:colOff>47625</xdr:colOff>
      <xdr:row>0</xdr:row>
      <xdr:rowOff>9525</xdr:rowOff>
    </xdr:from>
    <xdr:to>
      <xdr:col>4</xdr:col>
      <xdr:colOff>457200</xdr:colOff>
      <xdr:row>0</xdr:row>
      <xdr:rowOff>447675</xdr:rowOff>
    </xdr:to>
    <xdr:sp macro="" textlink="">
      <xdr:nvSpPr>
        <xdr:cNvPr id="10" name="Rounded Rectangle 9">
          <a:hlinkClick r:id="rId4"/>
        </xdr:cNvPr>
        <xdr:cNvSpPr/>
      </xdr:nvSpPr>
      <xdr:spPr>
        <a:xfrm>
          <a:off x="2628900" y="9525"/>
          <a:ext cx="1162050" cy="438150"/>
        </a:xfrm>
        <a:prstGeom prst="roundRect">
          <a:avLst/>
        </a:prstGeom>
        <a:ln>
          <a:solidFill>
            <a:schemeClr val="accent6">
              <a:lumMod val="60000"/>
              <a:lumOff val="40000"/>
            </a:schemeClr>
          </a:solidFill>
          <a:headEnd type="none"/>
          <a:tailEnd type="non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 b="1" baseline="0"/>
            <a:t>NFI  Township</a:t>
          </a:r>
          <a:endParaRPr lang="en-US" sz="1100" b="1"/>
        </a:p>
      </xdr:txBody>
    </xdr:sp>
    <xdr:clientData/>
  </xdr:twoCellAnchor>
  <xdr:twoCellAnchor>
    <xdr:from>
      <xdr:col>1</xdr:col>
      <xdr:colOff>1057275</xdr:colOff>
      <xdr:row>0</xdr:row>
      <xdr:rowOff>9525</xdr:rowOff>
    </xdr:from>
    <xdr:to>
      <xdr:col>2</xdr:col>
      <xdr:colOff>571500</xdr:colOff>
      <xdr:row>0</xdr:row>
      <xdr:rowOff>447675</xdr:rowOff>
    </xdr:to>
    <xdr:sp macro="" textlink="">
      <xdr:nvSpPr>
        <xdr:cNvPr id="7" name="Rounded Rectangle 6">
          <a:hlinkClick r:id="rId5"/>
        </xdr:cNvPr>
        <xdr:cNvSpPr/>
      </xdr:nvSpPr>
      <xdr:spPr>
        <a:xfrm>
          <a:off x="1409700" y="9525"/>
          <a:ext cx="1162050" cy="438150"/>
        </a:xfrm>
        <a:prstGeom prst="roundRect">
          <a:avLst/>
        </a:prstGeom>
        <a:ln>
          <a:solidFill>
            <a:schemeClr val="accent6">
              <a:lumMod val="60000"/>
              <a:lumOff val="40000"/>
            </a:schemeClr>
          </a:solidFill>
          <a:headEnd type="none"/>
          <a:tailEnd type="non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 b="1" baseline="0"/>
            <a:t>NFI  Agency</a:t>
          </a:r>
          <a:endParaRPr lang="en-US" sz="1100" b="1"/>
        </a:p>
      </xdr:txBody>
    </xdr:sp>
    <xdr:clientData/>
  </xdr:twoCellAnchor>
  <xdr:twoCellAnchor>
    <xdr:from>
      <xdr:col>4</xdr:col>
      <xdr:colOff>647700</xdr:colOff>
      <xdr:row>17</xdr:row>
      <xdr:rowOff>66675</xdr:rowOff>
    </xdr:from>
    <xdr:to>
      <xdr:col>13</xdr:col>
      <xdr:colOff>619125</xdr:colOff>
      <xdr:row>33</xdr:row>
      <xdr:rowOff>190500</xdr:rowOff>
    </xdr:to>
    <xdr:graphicFrame macro="">
      <xdr:nvGraphicFramePr>
        <xdr:cNvPr id="15" name="Chart 2"/>
        <xdr:cNvGraphicFramePr/>
      </xdr:nvGraphicFramePr>
      <xdr:xfrm>
        <a:off x="3981450" y="4619625"/>
        <a:ext cx="6819900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695325</xdr:colOff>
      <xdr:row>51</xdr:row>
      <xdr:rowOff>0</xdr:rowOff>
    </xdr:from>
    <xdr:to>
      <xdr:col>13</xdr:col>
      <xdr:colOff>666750</xdr:colOff>
      <xdr:row>68</xdr:row>
      <xdr:rowOff>142875</xdr:rowOff>
    </xdr:to>
    <xdr:graphicFrame macro="">
      <xdr:nvGraphicFramePr>
        <xdr:cNvPr id="16" name="Chart 2"/>
        <xdr:cNvGraphicFramePr/>
      </xdr:nvGraphicFramePr>
      <xdr:xfrm>
        <a:off x="4029075" y="11658600"/>
        <a:ext cx="6819900" cy="3381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219075</xdr:colOff>
      <xdr:row>51</xdr:row>
      <xdr:rowOff>19050</xdr:rowOff>
    </xdr:from>
    <xdr:to>
      <xdr:col>4</xdr:col>
      <xdr:colOff>219075</xdr:colOff>
      <xdr:row>68</xdr:row>
      <xdr:rowOff>161925</xdr:rowOff>
    </xdr:to>
    <xdr:graphicFrame macro="">
      <xdr:nvGraphicFramePr>
        <xdr:cNvPr id="17" name="Chart 2"/>
        <xdr:cNvGraphicFramePr/>
      </xdr:nvGraphicFramePr>
      <xdr:xfrm>
        <a:off x="219075" y="11677650"/>
        <a:ext cx="3333750" cy="3381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552450</xdr:colOff>
      <xdr:row>0</xdr:row>
      <xdr:rowOff>361950</xdr:rowOff>
    </xdr:to>
    <xdr:sp macro="" textlink="">
      <xdr:nvSpPr>
        <xdr:cNvPr id="15" name="Rounded Rectangle 14">
          <a:hlinkClick r:id="rId1"/>
        </xdr:cNvPr>
        <xdr:cNvSpPr/>
      </xdr:nvSpPr>
      <xdr:spPr>
        <a:xfrm>
          <a:off x="28575" y="0"/>
          <a:ext cx="1819275" cy="361950"/>
        </a:xfrm>
        <a:prstGeom prst="roundRect">
          <a:avLst/>
        </a:prstGeom>
        <a:ln>
          <a:solidFill>
            <a:schemeClr val="accent6">
              <a:lumMod val="60000"/>
              <a:lumOff val="40000"/>
            </a:schemeClr>
          </a:solidFill>
          <a:headEnd type="none"/>
          <a:tailEnd type="non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Home</a:t>
          </a:r>
        </a:p>
      </xdr:txBody>
    </xdr:sp>
    <xdr:clientData/>
  </xdr:twoCellAnchor>
  <xdr:twoCellAnchor>
    <xdr:from>
      <xdr:col>1</xdr:col>
      <xdr:colOff>628650</xdr:colOff>
      <xdr:row>0</xdr:row>
      <xdr:rowOff>0</xdr:rowOff>
    </xdr:from>
    <xdr:to>
      <xdr:col>3</xdr:col>
      <xdr:colOff>523875</xdr:colOff>
      <xdr:row>0</xdr:row>
      <xdr:rowOff>361950</xdr:rowOff>
    </xdr:to>
    <xdr:sp macro="" textlink="">
      <xdr:nvSpPr>
        <xdr:cNvPr id="16" name="Rounded Rectangle 15">
          <a:hlinkClick r:id="rId2"/>
        </xdr:cNvPr>
        <xdr:cNvSpPr/>
      </xdr:nvSpPr>
      <xdr:spPr>
        <a:xfrm>
          <a:off x="1924050" y="0"/>
          <a:ext cx="2105025" cy="361950"/>
        </a:xfrm>
        <a:prstGeom prst="roundRect">
          <a:avLst/>
        </a:prstGeom>
        <a:ln>
          <a:solidFill>
            <a:schemeClr val="accent6">
              <a:lumMod val="60000"/>
              <a:lumOff val="40000"/>
            </a:schemeClr>
          </a:solidFill>
          <a:headEnd type="none"/>
          <a:tailEnd type="non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Detailed Camp List</a:t>
          </a:r>
        </a:p>
      </xdr:txBody>
    </xdr:sp>
    <xdr:clientData/>
  </xdr:twoCellAnchor>
  <xdr:twoCellAnchor>
    <xdr:from>
      <xdr:col>6</xdr:col>
      <xdr:colOff>171450</xdr:colOff>
      <xdr:row>25</xdr:row>
      <xdr:rowOff>85725</xdr:rowOff>
    </xdr:from>
    <xdr:to>
      <xdr:col>12</xdr:col>
      <xdr:colOff>504825</xdr:colOff>
      <xdr:row>46</xdr:row>
      <xdr:rowOff>142875</xdr:rowOff>
    </xdr:to>
    <xdr:graphicFrame macro="">
      <xdr:nvGraphicFramePr>
        <xdr:cNvPr id="2" name="Chart 1"/>
        <xdr:cNvGraphicFramePr/>
      </xdr:nvGraphicFramePr>
      <xdr:xfrm>
        <a:off x="6200775" y="5419725"/>
        <a:ext cx="5181600" cy="4057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28575</xdr:colOff>
      <xdr:row>4</xdr:row>
      <xdr:rowOff>142875</xdr:rowOff>
    </xdr:from>
    <xdr:to>
      <xdr:col>12</xdr:col>
      <xdr:colOff>571500</xdr:colOff>
      <xdr:row>21</xdr:row>
      <xdr:rowOff>38100</xdr:rowOff>
    </xdr:to>
    <xdr:graphicFrame macro="">
      <xdr:nvGraphicFramePr>
        <xdr:cNvPr id="3" name="Chart 2"/>
        <xdr:cNvGraphicFramePr/>
      </xdr:nvGraphicFramePr>
      <xdr:xfrm>
        <a:off x="6057900" y="1476375"/>
        <a:ext cx="5391150" cy="3133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676275</xdr:colOff>
      <xdr:row>1</xdr:row>
      <xdr:rowOff>0</xdr:rowOff>
    </xdr:from>
    <xdr:to>
      <xdr:col>12</xdr:col>
      <xdr:colOff>581025</xdr:colOff>
      <xdr:row>2</xdr:row>
      <xdr:rowOff>0</xdr:rowOff>
    </xdr:to>
    <xdr:grpSp>
      <xdr:nvGrpSpPr>
        <xdr:cNvPr id="14" name="Group 13"/>
        <xdr:cNvGrpSpPr/>
      </xdr:nvGrpSpPr>
      <xdr:grpSpPr>
        <a:xfrm>
          <a:off x="6705600" y="457200"/>
          <a:ext cx="4752975" cy="457200"/>
          <a:chOff x="8584406" y="94693"/>
          <a:chExt cx="5024438" cy="409524"/>
        </a:xfrm>
      </xdr:grpSpPr>
      <xdr:pic>
        <xdr:nvPicPr>
          <xdr:cNvPr id="17" name="Picture 16"/>
          <xdr:cNvPicPr preferRelativeResize="1">
            <a:picLocks noChangeAspect="1"/>
          </xdr:cNvPicPr>
        </xdr:nvPicPr>
        <xdr:blipFill>
          <a:blip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84406" y="94693"/>
            <a:ext cx="409492" cy="409524"/>
          </a:xfrm>
          <a:prstGeom prst="rect">
            <a:avLst/>
          </a:prstGeom>
          <a:ln>
            <a:noFill/>
          </a:ln>
        </xdr:spPr>
      </xdr:pic>
      <xdr:pic>
        <xdr:nvPicPr>
          <xdr:cNvPr id="18" name="Picture 17"/>
          <xdr:cNvPicPr preferRelativeResize="1">
            <a:picLocks noChangeAspect="1"/>
          </xdr:cNvPicPr>
        </xdr:nvPicPr>
        <xdr:blipFill>
          <a:blip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25300" y="97662"/>
            <a:ext cx="399443" cy="400003"/>
          </a:xfrm>
          <a:prstGeom prst="rect">
            <a:avLst/>
          </a:prstGeom>
          <a:ln>
            <a:noFill/>
          </a:ln>
        </xdr:spPr>
      </xdr:pic>
      <xdr:pic>
        <xdr:nvPicPr>
          <xdr:cNvPr id="19" name="Picture 18"/>
          <xdr:cNvPicPr preferRelativeResize="1">
            <a:picLocks noChangeAspect="1"/>
          </xdr:cNvPicPr>
        </xdr:nvPicPr>
        <xdr:blipFill>
          <a:blip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464939" y="94693"/>
            <a:ext cx="409492" cy="409524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20" name="TextBox 1"/>
          <xdr:cNvSpPr txBox="1"/>
        </xdr:nvSpPr>
        <xdr:spPr>
          <a:xfrm>
            <a:off x="9929699" y="102986"/>
            <a:ext cx="3679145" cy="3929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20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Shelter/NFI/CCCM Cluster</a:t>
            </a:r>
          </a:p>
          <a:p>
            <a:pPr algn="ctr"/>
            <a:r>
              <a:rPr lang="en-US" sz="20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 </a:t>
            </a:r>
          </a:p>
        </xdr:txBody>
      </xdr:sp>
    </xdr:grp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0</xdr:row>
      <xdr:rowOff>38100</xdr:rowOff>
    </xdr:from>
    <xdr:to>
      <xdr:col>6</xdr:col>
      <xdr:colOff>238125</xdr:colOff>
      <xdr:row>1</xdr:row>
      <xdr:rowOff>142875</xdr:rowOff>
    </xdr:to>
    <xdr:sp macro="" textlink="">
      <xdr:nvSpPr>
        <xdr:cNvPr id="2" name="Rounded Rectangle 1">
          <a:hlinkClick r:id="rId1"/>
        </xdr:cNvPr>
        <xdr:cNvSpPr/>
      </xdr:nvSpPr>
      <xdr:spPr>
        <a:xfrm>
          <a:off x="5657850" y="38100"/>
          <a:ext cx="1400175" cy="295275"/>
        </a:xfrm>
        <a:prstGeom prst="roundRect">
          <a:avLst/>
        </a:prstGeom>
        <a:ln>
          <a:solidFill>
            <a:schemeClr val="accent6">
              <a:lumMod val="60000"/>
              <a:lumOff val="40000"/>
            </a:schemeClr>
          </a:solidFill>
          <a:headEnd type="none"/>
          <a:tailEnd type="non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Home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4" name="TextBox 3"/>
        <cdr:cNvSpPr txBox="1"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>
            <a:alpha val="70000"/>
          </a:srgbClr>
        </a:solidFill>
        <a:ln w="9525" cmpd="sng">
          <a:noFill/>
        </a:ln>
        <a:effectLst>
          <a:outerShdw blurRad="88900" dist="25400" dir="5400000" algn="t" rotWithShape="0">
            <a:prstClr val="black">
              <a:alpha val="11000"/>
            </a:prstClr>
          </a:outerShdw>
        </a:effectLst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tIns="0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400" baseline="0">
              <a:latin typeface="Franklin Gothic Medium Cond" pitchFamily="34" charset="0"/>
            </a:rPr>
            <a:t># of Camps by Township</a:t>
          </a:r>
          <a:endParaRPr lang="en-GB" sz="1400">
            <a:latin typeface="Franklin Gothic Medium Cond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0.01275</cdr:y>
    </cdr:from>
    <cdr:to>
      <cdr:x>0</cdr:x>
      <cdr:y>0</cdr:y>
    </cdr:to>
    <cdr:sp macro="" textlink="">
      <cdr:nvSpPr>
        <cdr:cNvPr id="4" name="TextBox 3"/>
        <cdr:cNvSpPr txBox="1">
          <a:spLocks/>
        </cdr:cNvSpPr>
      </cdr:nvSpPr>
      <cdr:spPr>
        <a:xfrm>
          <a:off x="0" y="19050"/>
          <a:ext cx="0" cy="0"/>
        </a:xfrm>
        <a:prstGeom prst="rect">
          <a:avLst/>
        </a:prstGeom>
        <a:solidFill>
          <a:srgbClr val="FFFFFF">
            <a:alpha val="70000"/>
          </a:srgbClr>
        </a:solidFill>
        <a:ln w="9525" cmpd="sng">
          <a:noFill/>
        </a:ln>
        <a:effectLst>
          <a:outerShdw blurRad="88900" dist="25400" dir="5400000" algn="t" rotWithShape="0">
            <a:prstClr val="black">
              <a:alpha val="11000"/>
            </a:prstClr>
          </a:outerShdw>
        </a:effectLst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tIns="0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400" baseline="0">
              <a:latin typeface="Franklin Gothic Medium Cond" pitchFamily="34" charset="0"/>
            </a:rPr>
            <a:t>% of IDP &amp; the sizes of the camps they are living</a:t>
          </a:r>
          <a:endParaRPr lang="en-GB" sz="1400">
            <a:latin typeface="Franklin Gothic Medium Cond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TextBox 3"/>
        <cdr:cNvSpPr txBox="1"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>
            <a:alpha val="70000"/>
          </a:srgbClr>
        </a:solidFill>
        <a:ln w="9525" cmpd="sng">
          <a:noFill/>
        </a:ln>
        <a:effectLst>
          <a:outerShdw blurRad="88900" dist="25400" dir="5400000" algn="t" rotWithShape="0">
            <a:prstClr val="black">
              <a:alpha val="11000"/>
            </a:prstClr>
          </a:outerShdw>
        </a:effectLst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tIns="0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400" baseline="0">
              <a:latin typeface="Franklin Gothic Medium Cond" pitchFamily="34" charset="0"/>
            </a:rPr>
            <a:t># of Camps by size of population in differnt Township</a:t>
          </a:r>
          <a:endParaRPr lang="en-GB" sz="1400">
            <a:latin typeface="Franklin Gothic Medium Cond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4" name="TextBox 3"/>
        <cdr:cNvSpPr txBox="1">
          <a:spLocks/>
        </cdr:cNvSpPr>
      </cdr:nvSpPr>
      <cdr:spPr>
        <a:xfrm>
          <a:off x="0" y="0"/>
          <a:ext cx="0" cy="0"/>
        </a:xfrm>
        <a:prstGeom prst="rect">
          <a:avLst/>
        </a:prstGeom>
        <a:ln>
          <a:solidFill>
            <a:schemeClr val="accent6">
              <a:lumMod val="60000"/>
              <a:lumOff val="40000"/>
            </a:schemeClr>
          </a:solidFill>
          <a:headEnd type="none"/>
          <a:tailEnd type="none"/>
        </a:ln>
      </cdr:spPr>
      <c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bg1"/>
        </a:fontRef>
      </cdr:style>
      <cdr:txBody>
        <a:bodyPr wrap="square" tIns="0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400" baseline="0">
              <a:latin typeface="Franklin Gothic Medium Cond" pitchFamily="34" charset="0"/>
            </a:rPr>
            <a:t># of IDPs By Township</a:t>
          </a:r>
          <a:endParaRPr lang="en-GB" sz="1400">
            <a:latin typeface="Franklin Gothic Medium Cond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66675</xdr:colOff>
      <xdr:row>4</xdr:row>
      <xdr:rowOff>76200</xdr:rowOff>
    </xdr:from>
    <xdr:to>
      <xdr:col>19</xdr:col>
      <xdr:colOff>819150</xdr:colOff>
      <xdr:row>44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409700"/>
          <a:ext cx="5019675" cy="77628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19050</xdr:colOff>
      <xdr:row>7</xdr:row>
      <xdr:rowOff>142875</xdr:rowOff>
    </xdr:from>
    <xdr:to>
      <xdr:col>8</xdr:col>
      <xdr:colOff>609600</xdr:colOff>
      <xdr:row>10</xdr:row>
      <xdr:rowOff>47625</xdr:rowOff>
    </xdr:to>
    <xdr:grpSp>
      <xdr:nvGrpSpPr>
        <xdr:cNvPr id="3" name="Group 2"/>
        <xdr:cNvGrpSpPr/>
      </xdr:nvGrpSpPr>
      <xdr:grpSpPr>
        <a:xfrm>
          <a:off x="19050" y="2047875"/>
          <a:ext cx="5372100" cy="581025"/>
          <a:chOff x="3977473" y="11269980"/>
          <a:chExt cx="1965263" cy="217553"/>
        </a:xfrm>
        <a:effectLst>
          <a:outerShdw blurRad="63500" sx="102000" sy="102000" algn="ctr" rotWithShape="0">
            <a:prstClr val="black">
              <a:alpha val="40000"/>
            </a:prstClr>
          </a:outerShdw>
        </a:effectLst>
      </xdr:grpSpPr>
      <xdr:sp macro="" textlink="">
        <xdr:nvSpPr>
          <xdr:cNvPr id="4" name="Rectangle 3"/>
          <xdr:cNvSpPr/>
        </xdr:nvSpPr>
        <xdr:spPr>
          <a:xfrm>
            <a:off x="3988773" y="11300437"/>
            <a:ext cx="1348662" cy="182908"/>
          </a:xfrm>
          <a:prstGeom prst="rect">
            <a:avLst/>
          </a:prstGeom>
          <a:solidFill>
            <a:srgbClr val="FFFFFF">
              <a:alpha val="85000"/>
            </a:srgbClr>
          </a:solidFill>
          <a:ln>
            <a:noFill/>
          </a:ln>
        </xdr:spPr>
        <xdr:style>
          <a:lnRef idx="2">
            <a:schemeClr val="accent1"/>
          </a:lnRef>
          <a:fillRef idx="1">
            <a:schemeClr val="bg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2400"/>
          </a:p>
        </xdr:txBody>
      </xdr:sp>
      <xdr:sp macro="" textlink="">
        <xdr:nvSpPr>
          <xdr:cNvPr id="5" name="TextBox 4"/>
          <xdr:cNvSpPr txBox="1"/>
        </xdr:nvSpPr>
        <xdr:spPr>
          <a:xfrm>
            <a:off x="3977473" y="11269980"/>
            <a:ext cx="1294617" cy="208688"/>
          </a:xfrm>
          <a:prstGeom prst="rect">
            <a:avLst/>
          </a:prstGeom>
          <a:noFill/>
          <a:ln w="9525" cmpd="sng">
            <a:noFill/>
          </a:ln>
          <a:effectLst>
            <a:glow rad="25400">
              <a:schemeClr val="bg1"/>
            </a:glow>
          </a:effectLst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180000" tIns="144000" rtlCol="0" anchor="t"/>
          <a:lstStyle/>
          <a:p>
            <a:r>
              <a:rPr lang="en-GB" sz="1400" b="0">
                <a:solidFill>
                  <a:schemeClr val="dk1"/>
                </a:solidFill>
                <a:effectLst/>
                <a:latin typeface="Franklin Gothic Medium Cond" pitchFamily="34" charset="0"/>
                <a:ea typeface="+mn-ea"/>
                <a:cs typeface="+mn-cs"/>
              </a:rPr>
              <a:t>Total Estimated</a:t>
            </a:r>
            <a:r>
              <a:rPr lang="en-GB" sz="1400" b="0" baseline="0">
                <a:solidFill>
                  <a:schemeClr val="dk1"/>
                </a:solidFill>
                <a:effectLst/>
                <a:latin typeface="Franklin Gothic Medium Cond" pitchFamily="34" charset="0"/>
                <a:ea typeface="+mn-ea"/>
                <a:cs typeface="+mn-cs"/>
              </a:rPr>
              <a:t> number </a:t>
            </a:r>
            <a:r>
              <a:rPr lang="en-GB" sz="1400" b="0">
                <a:solidFill>
                  <a:schemeClr val="dk1"/>
                </a:solidFill>
                <a:effectLst/>
                <a:latin typeface="Franklin Gothic Medium Cond" pitchFamily="34" charset="0"/>
                <a:ea typeface="+mn-ea"/>
                <a:cs typeface="+mn-cs"/>
              </a:rPr>
              <a:t>IDP Population</a:t>
            </a:r>
            <a:endParaRPr lang="en-GB" sz="1400">
              <a:effectLst/>
              <a:latin typeface="Franklin Gothic Medium Cond" pitchFamily="34" charset="0"/>
            </a:endParaRPr>
          </a:p>
        </xdr:txBody>
      </xdr:sp>
      <xdr:sp macro="" textlink="$W$19">
        <xdr:nvSpPr>
          <xdr:cNvPr id="6" name="Rectangle 5"/>
          <xdr:cNvSpPr/>
        </xdr:nvSpPr>
        <xdr:spPr>
          <a:xfrm>
            <a:off x="5172844" y="11296630"/>
            <a:ext cx="769892" cy="190903"/>
          </a:xfrm>
          <a:prstGeom prst="rect">
            <a:avLst/>
          </a:prstGeom>
          <a:solidFill>
            <a:srgbClr val="808080"/>
          </a:solidFill>
          <a:ln w="6350">
            <a:solidFill>
              <a:schemeClr val="bg1">
                <a:lumMod val="85000"/>
              </a:schemeClr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tIns="0" rtlCol="0" anchor="ctr"/>
          <a:lstStyle/>
          <a:p>
            <a:pPr algn="ctr"/>
            <a:fld id="{5D69BACD-32C3-4D7A-825E-A0D2713340F8}" type="TxLink">
              <a:rPr lang="en-US" sz="2800">
                <a:latin typeface="Franklin Gothic Demi Cond" pitchFamily="34" charset="0"/>
              </a:rPr>
              <a:pPr algn="ctr"/>
              <a:t> 139,416 </a:t>
            </a:fld>
            <a:endParaRPr lang="en-US" sz="2800">
              <a:latin typeface="Franklin Gothic Demi Cond" pitchFamily="34" charset="0"/>
            </a:endParaRPr>
          </a:p>
        </xdr:txBody>
      </xdr:sp>
    </xdr:grpSp>
    <xdr:clientData/>
  </xdr:twoCellAnchor>
  <xdr:oneCellAnchor>
    <xdr:from>
      <xdr:col>6</xdr:col>
      <xdr:colOff>504825</xdr:colOff>
      <xdr:row>11</xdr:row>
      <xdr:rowOff>28575</xdr:rowOff>
    </xdr:from>
    <xdr:ext cx="180975" cy="266700"/>
    <xdr:sp macro="" textlink="">
      <xdr:nvSpPr>
        <xdr:cNvPr id="7" name="TextBox 6"/>
        <xdr:cNvSpPr txBox="1"/>
      </xdr:nvSpPr>
      <xdr:spPr>
        <a:xfrm>
          <a:off x="3914775" y="2800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200025</xdr:colOff>
      <xdr:row>49</xdr:row>
      <xdr:rowOff>180975</xdr:rowOff>
    </xdr:from>
    <xdr:to>
      <xdr:col>11</xdr:col>
      <xdr:colOff>0</xdr:colOff>
      <xdr:row>51</xdr:row>
      <xdr:rowOff>38100</xdr:rowOff>
    </xdr:to>
    <xdr:sp macro="" textlink="">
      <xdr:nvSpPr>
        <xdr:cNvPr id="12" name="TextBox 11"/>
        <xdr:cNvSpPr txBox="1"/>
      </xdr:nvSpPr>
      <xdr:spPr>
        <a:xfrm>
          <a:off x="200025" y="10296525"/>
          <a:ext cx="6896100" cy="238125"/>
        </a:xfrm>
        <a:prstGeom prst="rect">
          <a:avLst/>
        </a:prstGeom>
        <a:solidFill>
          <a:srgbClr val="FDFDFD">
            <a:alpha val="77000"/>
          </a:srgbClr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tIns="18000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dk1"/>
              </a:solidFill>
              <a:effectLst/>
              <a:latin typeface="Franklin Gothic Book" pitchFamily="34" charset="0"/>
              <a:ea typeface="+mn-ea"/>
              <a:cs typeface="+mn-cs"/>
            </a:rPr>
            <a:t> </a:t>
          </a:r>
          <a:endParaRPr lang="en-GB" sz="1000">
            <a:effectLst/>
            <a:latin typeface="Franklin Gothic Book" pitchFamily="34" charset="0"/>
          </a:endParaRPr>
        </a:p>
        <a:p>
          <a:endParaRPr lang="en-GB" sz="1000">
            <a:latin typeface="Franklin Gothic Book" pitchFamily="34" charset="0"/>
          </a:endParaRPr>
        </a:p>
      </xdr:txBody>
    </xdr:sp>
    <xdr:clientData/>
  </xdr:twoCellAnchor>
  <xdr:twoCellAnchor>
    <xdr:from>
      <xdr:col>0</xdr:col>
      <xdr:colOff>0</xdr:colOff>
      <xdr:row>46</xdr:row>
      <xdr:rowOff>133350</xdr:rowOff>
    </xdr:from>
    <xdr:to>
      <xdr:col>21</xdr:col>
      <xdr:colOff>47625</xdr:colOff>
      <xdr:row>46</xdr:row>
      <xdr:rowOff>133350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>
          <a:off x="0" y="9677400"/>
          <a:ext cx="13115925" cy="0"/>
        </a:xfrm>
        <a:prstGeom prst="line">
          <a:avLst/>
        </a:prstGeom>
        <a:noFill/>
        <a:ln w="12700">
          <a:solidFill>
            <a:srgbClr val="808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49</xdr:row>
      <xdr:rowOff>57150</xdr:rowOff>
    </xdr:from>
    <xdr:to>
      <xdr:col>10</xdr:col>
      <xdr:colOff>457200</xdr:colOff>
      <xdr:row>51</xdr:row>
      <xdr:rowOff>66675</xdr:rowOff>
    </xdr:to>
    <xdr:sp macro="" textlink="">
      <xdr:nvSpPr>
        <xdr:cNvPr id="14" name="TextBox 13"/>
        <xdr:cNvSpPr txBox="1"/>
      </xdr:nvSpPr>
      <xdr:spPr>
        <a:xfrm>
          <a:off x="0" y="10172700"/>
          <a:ext cx="6905625" cy="390525"/>
        </a:xfrm>
        <a:prstGeom prst="rect">
          <a:avLst/>
        </a:prstGeom>
        <a:solidFill>
          <a:srgbClr val="FDFDFD">
            <a:alpha val="77000"/>
          </a:srgbClr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tIns="18000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>
            <a:latin typeface="Franklin Gothic Book" pitchFamily="34" charset="0"/>
          </a:endParaRPr>
        </a:p>
      </xdr:txBody>
    </xdr:sp>
    <xdr:clientData/>
  </xdr:twoCellAnchor>
  <xdr:twoCellAnchor>
    <xdr:from>
      <xdr:col>0</xdr:col>
      <xdr:colOff>19050</xdr:colOff>
      <xdr:row>4</xdr:row>
      <xdr:rowOff>47625</xdr:rowOff>
    </xdr:from>
    <xdr:to>
      <xdr:col>8</xdr:col>
      <xdr:colOff>609600</xdr:colOff>
      <xdr:row>7</xdr:row>
      <xdr:rowOff>95250</xdr:rowOff>
    </xdr:to>
    <xdr:grpSp>
      <xdr:nvGrpSpPr>
        <xdr:cNvPr id="15" name="Group 14"/>
        <xdr:cNvGrpSpPr/>
      </xdr:nvGrpSpPr>
      <xdr:grpSpPr>
        <a:xfrm>
          <a:off x="19050" y="1381125"/>
          <a:ext cx="5372100" cy="619125"/>
          <a:chOff x="3977473" y="11269980"/>
          <a:chExt cx="1965264" cy="217542"/>
        </a:xfrm>
        <a:effectLst>
          <a:outerShdw blurRad="63500" sx="102000" sy="102000" algn="ctr" rotWithShape="0">
            <a:prstClr val="black">
              <a:alpha val="40000"/>
            </a:prstClr>
          </a:outerShdw>
        </a:effectLst>
      </xdr:grpSpPr>
      <xdr:sp macro="" textlink="$X$19">
        <xdr:nvSpPr>
          <xdr:cNvPr id="16" name="Rectangle 15"/>
          <xdr:cNvSpPr/>
        </xdr:nvSpPr>
        <xdr:spPr>
          <a:xfrm>
            <a:off x="5168423" y="11296629"/>
            <a:ext cx="774314" cy="190893"/>
          </a:xfrm>
          <a:prstGeom prst="rect">
            <a:avLst/>
          </a:prstGeom>
          <a:solidFill>
            <a:srgbClr val="808080"/>
          </a:solidFill>
          <a:ln w="6350">
            <a:solidFill>
              <a:schemeClr val="bg1">
                <a:lumMod val="85000"/>
              </a:schemeClr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tIns="0" rtlCol="0" anchor="ctr"/>
          <a:lstStyle/>
          <a:p>
            <a:pPr algn="ctr"/>
            <a:fld id="{744D5399-C8A3-47F6-8A72-A166A41918F8}" type="TxLink">
              <a:rPr lang="en-US" sz="2800">
                <a:latin typeface="Franklin Gothic Demi Cond" pitchFamily="34" charset="0"/>
              </a:rPr>
              <a:pPr algn="ctr"/>
              <a:t> 76 </a:t>
            </a:fld>
            <a:endParaRPr lang="en-US" sz="2800">
              <a:latin typeface="Franklin Gothic Demi Cond" pitchFamily="34" charset="0"/>
            </a:endParaRPr>
          </a:p>
        </xdr:txBody>
      </xdr:sp>
      <xdr:sp macro="" textlink="">
        <xdr:nvSpPr>
          <xdr:cNvPr id="17" name="Rectangle 16"/>
          <xdr:cNvSpPr/>
        </xdr:nvSpPr>
        <xdr:spPr>
          <a:xfrm>
            <a:off x="3988773" y="11300436"/>
            <a:ext cx="1179650" cy="182898"/>
          </a:xfrm>
          <a:prstGeom prst="rect">
            <a:avLst/>
          </a:prstGeom>
          <a:solidFill>
            <a:srgbClr val="FFFFFF">
              <a:alpha val="85000"/>
            </a:srgbClr>
          </a:solidFill>
          <a:ln>
            <a:noFill/>
          </a:ln>
        </xdr:spPr>
        <xdr:style>
          <a:lnRef idx="2">
            <a:schemeClr val="accent1"/>
          </a:lnRef>
          <a:fillRef idx="1">
            <a:schemeClr val="bg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2400"/>
          </a:p>
        </xdr:txBody>
      </xdr:sp>
      <xdr:sp macro="" textlink="">
        <xdr:nvSpPr>
          <xdr:cNvPr id="18" name="TextBox 17"/>
          <xdr:cNvSpPr txBox="1"/>
        </xdr:nvSpPr>
        <xdr:spPr>
          <a:xfrm>
            <a:off x="3977473" y="11269980"/>
            <a:ext cx="1232221" cy="208677"/>
          </a:xfrm>
          <a:prstGeom prst="rect">
            <a:avLst/>
          </a:prstGeom>
          <a:noFill/>
          <a:ln w="9525" cmpd="sng">
            <a:noFill/>
          </a:ln>
          <a:effectLst>
            <a:glow rad="25400">
              <a:schemeClr val="bg1"/>
            </a:glow>
          </a:effectLst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180000" tIns="144000" rtlCol="0" anchor="t"/>
          <a:lstStyle/>
          <a:p>
            <a:r>
              <a:rPr lang="en-GB" sz="1400" b="0">
                <a:solidFill>
                  <a:schemeClr val="dk1"/>
                </a:solidFill>
                <a:effectLst/>
                <a:latin typeface="Franklin Gothic Medium Cond" pitchFamily="34" charset="0"/>
                <a:ea typeface="+mn-ea"/>
                <a:cs typeface="+mn-cs"/>
              </a:rPr>
              <a:t>Total number of Camps - Open</a:t>
            </a:r>
            <a:endParaRPr lang="en-GB" sz="1400">
              <a:effectLst/>
              <a:latin typeface="Franklin Gothic Medium Cond" pitchFamily="34" charset="0"/>
            </a:endParaRPr>
          </a:p>
        </xdr:txBody>
      </xdr:sp>
    </xdr:grpSp>
    <xdr:clientData/>
  </xdr:twoCellAnchor>
  <xdr:twoCellAnchor>
    <xdr:from>
      <xdr:col>0</xdr:col>
      <xdr:colOff>0</xdr:colOff>
      <xdr:row>47</xdr:row>
      <xdr:rowOff>38100</xdr:rowOff>
    </xdr:from>
    <xdr:to>
      <xdr:col>18</xdr:col>
      <xdr:colOff>552450</xdr:colOff>
      <xdr:row>49</xdr:row>
      <xdr:rowOff>9525</xdr:rowOff>
    </xdr:to>
    <xdr:grpSp>
      <xdr:nvGrpSpPr>
        <xdr:cNvPr id="19" name="Group 18"/>
        <xdr:cNvGrpSpPr/>
      </xdr:nvGrpSpPr>
      <xdr:grpSpPr>
        <a:xfrm>
          <a:off x="0" y="9772650"/>
          <a:ext cx="11306175" cy="352425"/>
          <a:chOff x="6083300" y="9207941"/>
          <a:chExt cx="6831854" cy="275870"/>
        </a:xfrm>
      </xdr:grpSpPr>
      <xdr:sp macro="" textlink="">
        <xdr:nvSpPr>
          <xdr:cNvPr id="20" name="TextBox 19"/>
          <xdr:cNvSpPr txBox="1"/>
        </xdr:nvSpPr>
        <xdr:spPr>
          <a:xfrm>
            <a:off x="6083300" y="9207941"/>
            <a:ext cx="3636254" cy="275870"/>
          </a:xfrm>
          <a:prstGeom prst="rect">
            <a:avLst/>
          </a:prstGeom>
          <a:solidFill>
            <a:srgbClr val="FDFDFD">
              <a:alpha val="77000"/>
            </a:srgbClr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tIns="18000" rtlCol="0" anchor="t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GB" sz="1000" baseline="0">
                <a:solidFill>
                  <a:schemeClr val="dk1"/>
                </a:solidFill>
                <a:effectLst/>
                <a:latin typeface="Franklin Gothic Book" pitchFamily="34" charset="0"/>
                <a:ea typeface="+mn-ea"/>
                <a:cs typeface="+mn-cs"/>
              </a:rPr>
              <a:t>Sources: UNHCR, Myamar Information Management Unit (MIMU), Other Humanitarian Organizations</a:t>
            </a:r>
            <a:endParaRPr lang="en-GB" sz="1000">
              <a:latin typeface="Franklin Gothic Book" pitchFamily="34" charset="0"/>
            </a:endParaRPr>
          </a:p>
        </xdr:txBody>
      </xdr:sp>
      <xdr:sp macro="" textlink="">
        <xdr:nvSpPr>
          <xdr:cNvPr id="21" name="TextBox 20"/>
          <xdr:cNvSpPr txBox="1">
            <a:spLocks/>
          </xdr:cNvSpPr>
        </xdr:nvSpPr>
        <xdr:spPr>
          <a:xfrm>
            <a:off x="9825448" y="9207941"/>
            <a:ext cx="1952202" cy="224075"/>
          </a:xfrm>
          <a:prstGeom prst="rect">
            <a:avLst/>
          </a:prstGeom>
          <a:solidFill>
            <a:srgbClr val="FDFDFD">
              <a:alpha val="92000"/>
            </a:srgbClr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tIns="0" rtlCol="0" anchor="t">
            <a:noAutofit/>
          </a:bodyPr>
          <a:lstStyle/>
          <a:p>
            <a:pPr algn="r"/>
            <a:r>
              <a:rPr lang="en-GB" sz="1200" baseline="0">
                <a:latin typeface="Franklin Gothic Medium Cond" pitchFamily="34" charset="0"/>
              </a:rPr>
              <a:t>For more information, contact</a:t>
            </a:r>
            <a:endParaRPr lang="en-GB" sz="1400">
              <a:latin typeface="Franklin Gothic Medium Cond" pitchFamily="34" charset="0"/>
            </a:endParaRPr>
          </a:p>
        </xdr:txBody>
      </xdr:sp>
      <xdr:sp macro="" textlink="">
        <xdr:nvSpPr>
          <xdr:cNvPr id="22" name="TextBox 21"/>
          <xdr:cNvSpPr txBox="1"/>
        </xdr:nvSpPr>
        <xdr:spPr>
          <a:xfrm>
            <a:off x="11769110" y="9207941"/>
            <a:ext cx="1146044" cy="202833"/>
          </a:xfrm>
          <a:prstGeom prst="rect">
            <a:avLst/>
          </a:prstGeom>
          <a:solidFill>
            <a:srgbClr val="FDFDFD">
              <a:alpha val="77000"/>
            </a:srgbClr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tIns="18000" rtlCol="0" anchor="t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GB" sz="1050" b="0" baseline="0">
                <a:solidFill>
                  <a:srgbClr val="0070C0"/>
                </a:solidFill>
                <a:effectLst/>
                <a:latin typeface="Franklin Gothic Demi" pitchFamily="34" charset="0"/>
                <a:ea typeface="+mn-ea"/>
                <a:cs typeface="+mn-cs"/>
              </a:rPr>
              <a:t>benson@unhcr.org</a:t>
            </a:r>
          </a:p>
        </xdr:txBody>
      </xdr:sp>
    </xdr:grpSp>
    <xdr:clientData/>
  </xdr:twoCellAnchor>
  <xdr:twoCellAnchor>
    <xdr:from>
      <xdr:col>13</xdr:col>
      <xdr:colOff>323850</xdr:colOff>
      <xdr:row>34</xdr:row>
      <xdr:rowOff>66675</xdr:rowOff>
    </xdr:from>
    <xdr:to>
      <xdr:col>14</xdr:col>
      <xdr:colOff>95250</xdr:colOff>
      <xdr:row>36</xdr:row>
      <xdr:rowOff>114300</xdr:rowOff>
    </xdr:to>
    <xdr:sp macro="" textlink="">
      <xdr:nvSpPr>
        <xdr:cNvPr id="23" name="Oval 22"/>
        <xdr:cNvSpPr/>
      </xdr:nvSpPr>
      <xdr:spPr>
        <a:xfrm>
          <a:off x="8029575" y="7324725"/>
          <a:ext cx="381000" cy="428625"/>
        </a:xfrm>
        <a:prstGeom prst="ellipse">
          <a:avLst/>
        </a:prstGeom>
        <a:noFill/>
        <a:ln w="25400">
          <a:solidFill>
            <a:schemeClr val="bg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bg1"/>
              </a:solidFill>
              <a:latin typeface="Arial Black" pitchFamily="34" charset="0"/>
            </a:rPr>
            <a:t>9</a:t>
          </a:r>
        </a:p>
      </xdr:txBody>
    </xdr:sp>
    <xdr:clientData/>
  </xdr:twoCellAnchor>
  <xdr:twoCellAnchor>
    <xdr:from>
      <xdr:col>12</xdr:col>
      <xdr:colOff>361950</xdr:colOff>
      <xdr:row>1</xdr:row>
      <xdr:rowOff>57150</xdr:rowOff>
    </xdr:from>
    <xdr:to>
      <xdr:col>19</xdr:col>
      <xdr:colOff>838200</xdr:colOff>
      <xdr:row>2</xdr:row>
      <xdr:rowOff>57150</xdr:rowOff>
    </xdr:to>
    <xdr:grpSp>
      <xdr:nvGrpSpPr>
        <xdr:cNvPr id="24" name="Group 23"/>
        <xdr:cNvGrpSpPr/>
      </xdr:nvGrpSpPr>
      <xdr:grpSpPr>
        <a:xfrm>
          <a:off x="7458075" y="514350"/>
          <a:ext cx="4743450" cy="457200"/>
          <a:chOff x="8584406" y="94693"/>
          <a:chExt cx="5024438" cy="409524"/>
        </a:xfrm>
      </xdr:grpSpPr>
      <xdr:pic>
        <xdr:nvPicPr>
          <xdr:cNvPr id="25" name="Picture 24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84406" y="94693"/>
            <a:ext cx="409492" cy="409524"/>
          </a:xfrm>
          <a:prstGeom prst="rect">
            <a:avLst/>
          </a:prstGeom>
          <a:ln>
            <a:noFill/>
          </a:ln>
        </xdr:spPr>
      </xdr:pic>
      <xdr:pic>
        <xdr:nvPicPr>
          <xdr:cNvPr id="26" name="Picture 25"/>
          <xdr:cNvPicPr preferRelativeResize="1">
            <a:picLocks noChangeAspect="1"/>
          </xdr:cNvPicPr>
        </xdr:nvPicPr>
        <xdr:blipFill>
          <a:blip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25300" y="97662"/>
            <a:ext cx="399443" cy="400003"/>
          </a:xfrm>
          <a:prstGeom prst="rect">
            <a:avLst/>
          </a:prstGeom>
          <a:ln>
            <a:noFill/>
          </a:ln>
        </xdr:spPr>
      </xdr:pic>
      <xdr:pic>
        <xdr:nvPicPr>
          <xdr:cNvPr id="27" name="Picture 26"/>
          <xdr:cNvPicPr preferRelativeResize="1">
            <a:picLocks noChangeAspect="1"/>
          </xdr:cNvPicPr>
        </xdr:nvPicPr>
        <xdr:blipFill>
          <a:blip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464939" y="94693"/>
            <a:ext cx="409492" cy="409524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28" name="TextBox 1"/>
          <xdr:cNvSpPr txBox="1"/>
        </xdr:nvSpPr>
        <xdr:spPr>
          <a:xfrm>
            <a:off x="9929699" y="102986"/>
            <a:ext cx="3679145" cy="3929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20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Shelter/NFI/CCCM Cluster</a:t>
            </a:r>
          </a:p>
          <a:p>
            <a:r>
              <a:rPr lang="en-US" sz="20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 </a:t>
            </a:r>
          </a:p>
        </xdr:txBody>
      </xdr:sp>
    </xdr:grpSp>
    <xdr:clientData/>
  </xdr:twoCellAnchor>
  <xdr:twoCellAnchor>
    <xdr:from>
      <xdr:col>11</xdr:col>
      <xdr:colOff>28575</xdr:colOff>
      <xdr:row>6</xdr:row>
      <xdr:rowOff>76200</xdr:rowOff>
    </xdr:from>
    <xdr:to>
      <xdr:col>13</xdr:col>
      <xdr:colOff>28575</xdr:colOff>
      <xdr:row>7</xdr:row>
      <xdr:rowOff>142875</xdr:rowOff>
    </xdr:to>
    <xdr:sp macro="" textlink="">
      <xdr:nvSpPr>
        <xdr:cNvPr id="29" name="TextBox 28"/>
        <xdr:cNvSpPr txBox="1"/>
      </xdr:nvSpPr>
      <xdr:spPr>
        <a:xfrm>
          <a:off x="7096125" y="1790700"/>
          <a:ext cx="6381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>
              <a:solidFill>
                <a:schemeClr val="bg1"/>
              </a:solidFill>
            </a:rPr>
            <a:t>Maungdaw</a:t>
          </a:r>
        </a:p>
      </xdr:txBody>
    </xdr:sp>
    <xdr:clientData/>
  </xdr:twoCellAnchor>
  <xdr:twoCellAnchor>
    <xdr:from>
      <xdr:col>14</xdr:col>
      <xdr:colOff>285750</xdr:colOff>
      <xdr:row>10</xdr:row>
      <xdr:rowOff>123825</xdr:rowOff>
    </xdr:from>
    <xdr:to>
      <xdr:col>15</xdr:col>
      <xdr:colOff>485775</xdr:colOff>
      <xdr:row>11</xdr:row>
      <xdr:rowOff>190500</xdr:rowOff>
    </xdr:to>
    <xdr:sp macro="" textlink="">
      <xdr:nvSpPr>
        <xdr:cNvPr id="30" name="TextBox 29"/>
        <xdr:cNvSpPr txBox="1"/>
      </xdr:nvSpPr>
      <xdr:spPr>
        <a:xfrm>
          <a:off x="8601075" y="2705100"/>
          <a:ext cx="8096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>
              <a:solidFill>
                <a:schemeClr val="bg1"/>
              </a:solidFill>
            </a:rPr>
            <a:t>Kyauktaw</a:t>
          </a:r>
        </a:p>
      </xdr:txBody>
    </xdr:sp>
    <xdr:clientData/>
  </xdr:twoCellAnchor>
  <xdr:twoCellAnchor>
    <xdr:from>
      <xdr:col>15</xdr:col>
      <xdr:colOff>438150</xdr:colOff>
      <xdr:row>14</xdr:row>
      <xdr:rowOff>28575</xdr:rowOff>
    </xdr:from>
    <xdr:to>
      <xdr:col>17</xdr:col>
      <xdr:colOff>0</xdr:colOff>
      <xdr:row>15</xdr:row>
      <xdr:rowOff>85725</xdr:rowOff>
    </xdr:to>
    <xdr:sp macro="" textlink="">
      <xdr:nvSpPr>
        <xdr:cNvPr id="31" name="TextBox 30"/>
        <xdr:cNvSpPr txBox="1"/>
      </xdr:nvSpPr>
      <xdr:spPr>
        <a:xfrm>
          <a:off x="9363075" y="3400425"/>
          <a:ext cx="7810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>
              <a:solidFill>
                <a:schemeClr val="bg1"/>
              </a:solidFill>
            </a:rPr>
            <a:t>Mrauk-U</a:t>
          </a:r>
        </a:p>
      </xdr:txBody>
    </xdr:sp>
    <xdr:clientData/>
  </xdr:twoCellAnchor>
  <xdr:twoCellAnchor>
    <xdr:from>
      <xdr:col>15</xdr:col>
      <xdr:colOff>114300</xdr:colOff>
      <xdr:row>23</xdr:row>
      <xdr:rowOff>28575</xdr:rowOff>
    </xdr:from>
    <xdr:to>
      <xdr:col>16</xdr:col>
      <xdr:colOff>314325</xdr:colOff>
      <xdr:row>24</xdr:row>
      <xdr:rowOff>95250</xdr:rowOff>
    </xdr:to>
    <xdr:sp macro="" textlink="">
      <xdr:nvSpPr>
        <xdr:cNvPr id="32" name="TextBox 31"/>
        <xdr:cNvSpPr txBox="1"/>
      </xdr:nvSpPr>
      <xdr:spPr>
        <a:xfrm>
          <a:off x="9039225" y="5191125"/>
          <a:ext cx="8096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>
              <a:solidFill>
                <a:schemeClr val="bg1"/>
              </a:solidFill>
            </a:rPr>
            <a:t>Pauktaw</a:t>
          </a:r>
        </a:p>
      </xdr:txBody>
    </xdr:sp>
    <xdr:clientData/>
  </xdr:twoCellAnchor>
  <xdr:twoCellAnchor>
    <xdr:from>
      <xdr:col>17</xdr:col>
      <xdr:colOff>57150</xdr:colOff>
      <xdr:row>18</xdr:row>
      <xdr:rowOff>161925</xdr:rowOff>
    </xdr:from>
    <xdr:to>
      <xdr:col>18</xdr:col>
      <xdr:colOff>257175</xdr:colOff>
      <xdr:row>20</xdr:row>
      <xdr:rowOff>19050</xdr:rowOff>
    </xdr:to>
    <xdr:sp macro="" textlink="">
      <xdr:nvSpPr>
        <xdr:cNvPr id="33" name="TextBox 32"/>
        <xdr:cNvSpPr txBox="1"/>
      </xdr:nvSpPr>
      <xdr:spPr>
        <a:xfrm>
          <a:off x="10201275" y="4333875"/>
          <a:ext cx="8096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>
              <a:solidFill>
                <a:schemeClr val="bg1"/>
              </a:solidFill>
            </a:rPr>
            <a:t>Minbya</a:t>
          </a:r>
        </a:p>
      </xdr:txBody>
    </xdr:sp>
    <xdr:clientData/>
  </xdr:twoCellAnchor>
  <xdr:twoCellAnchor>
    <xdr:from>
      <xdr:col>17</xdr:col>
      <xdr:colOff>190500</xdr:colOff>
      <xdr:row>22</xdr:row>
      <xdr:rowOff>104775</xdr:rowOff>
    </xdr:from>
    <xdr:to>
      <xdr:col>18</xdr:col>
      <xdr:colOff>390525</xdr:colOff>
      <xdr:row>23</xdr:row>
      <xdr:rowOff>171450</xdr:rowOff>
    </xdr:to>
    <xdr:sp macro="" textlink="">
      <xdr:nvSpPr>
        <xdr:cNvPr id="34" name="TextBox 33"/>
        <xdr:cNvSpPr txBox="1"/>
      </xdr:nvSpPr>
      <xdr:spPr>
        <a:xfrm>
          <a:off x="10334625" y="5076825"/>
          <a:ext cx="8096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>
              <a:solidFill>
                <a:schemeClr val="bg1"/>
              </a:solidFill>
            </a:rPr>
            <a:t>Myebon</a:t>
          </a:r>
        </a:p>
      </xdr:txBody>
    </xdr:sp>
    <xdr:clientData/>
  </xdr:twoCellAnchor>
  <xdr:twoCellAnchor>
    <xdr:from>
      <xdr:col>17</xdr:col>
      <xdr:colOff>466725</xdr:colOff>
      <xdr:row>35</xdr:row>
      <xdr:rowOff>142875</xdr:rowOff>
    </xdr:from>
    <xdr:to>
      <xdr:col>19</xdr:col>
      <xdr:colOff>19050</xdr:colOff>
      <xdr:row>37</xdr:row>
      <xdr:rowOff>19050</xdr:rowOff>
    </xdr:to>
    <xdr:sp macro="" textlink="">
      <xdr:nvSpPr>
        <xdr:cNvPr id="35" name="TextBox 34"/>
        <xdr:cNvSpPr txBox="1"/>
      </xdr:nvSpPr>
      <xdr:spPr>
        <a:xfrm>
          <a:off x="10610850" y="7591425"/>
          <a:ext cx="7715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>
              <a:solidFill>
                <a:sysClr val="windowText" lastClr="000000"/>
              </a:solidFill>
            </a:rPr>
            <a:t>Kyaukpyu</a:t>
          </a:r>
        </a:p>
      </xdr:txBody>
    </xdr:sp>
    <xdr:clientData/>
  </xdr:twoCellAnchor>
  <xdr:twoCellAnchor>
    <xdr:from>
      <xdr:col>18</xdr:col>
      <xdr:colOff>371475</xdr:colOff>
      <xdr:row>39</xdr:row>
      <xdr:rowOff>19050</xdr:rowOff>
    </xdr:from>
    <xdr:to>
      <xdr:col>19</xdr:col>
      <xdr:colOff>571500</xdr:colOff>
      <xdr:row>40</xdr:row>
      <xdr:rowOff>85725</xdr:rowOff>
    </xdr:to>
    <xdr:sp macro="" textlink="">
      <xdr:nvSpPr>
        <xdr:cNvPr id="36" name="TextBox 35"/>
        <xdr:cNvSpPr txBox="1"/>
      </xdr:nvSpPr>
      <xdr:spPr>
        <a:xfrm>
          <a:off x="11125200" y="8229600"/>
          <a:ext cx="8096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>
              <a:solidFill>
                <a:sysClr val="windowText" lastClr="000000"/>
              </a:solidFill>
            </a:rPr>
            <a:t>Ramree</a:t>
          </a:r>
        </a:p>
      </xdr:txBody>
    </xdr:sp>
    <xdr:clientData/>
  </xdr:twoCellAnchor>
  <xdr:twoCellAnchor>
    <xdr:from>
      <xdr:col>0</xdr:col>
      <xdr:colOff>0</xdr:colOff>
      <xdr:row>11</xdr:row>
      <xdr:rowOff>57150</xdr:rowOff>
    </xdr:from>
    <xdr:to>
      <xdr:col>5</xdr:col>
      <xdr:colOff>342900</xdr:colOff>
      <xdr:row>25</xdr:row>
      <xdr:rowOff>38100</xdr:rowOff>
    </xdr:to>
    <xdr:graphicFrame macro="">
      <xdr:nvGraphicFramePr>
        <xdr:cNvPr id="37" name="Chart 36"/>
        <xdr:cNvGraphicFramePr/>
      </xdr:nvGraphicFramePr>
      <xdr:xfrm>
        <a:off x="0" y="2828925"/>
        <a:ext cx="3228975" cy="2752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428625</xdr:colOff>
      <xdr:row>17</xdr:row>
      <xdr:rowOff>142875</xdr:rowOff>
    </xdr:from>
    <xdr:to>
      <xdr:col>12</xdr:col>
      <xdr:colOff>381000</xdr:colOff>
      <xdr:row>28</xdr:row>
      <xdr:rowOff>9525</xdr:rowOff>
    </xdr:to>
    <xdr:graphicFrame macro="">
      <xdr:nvGraphicFramePr>
        <xdr:cNvPr id="38" name="Chart 37"/>
        <xdr:cNvGraphicFramePr/>
      </xdr:nvGraphicFramePr>
      <xdr:xfrm>
        <a:off x="3314700" y="4114800"/>
        <a:ext cx="4162425" cy="2009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285750</xdr:colOff>
      <xdr:row>16</xdr:row>
      <xdr:rowOff>152400</xdr:rowOff>
    </xdr:from>
    <xdr:to>
      <xdr:col>14</xdr:col>
      <xdr:colOff>485775</xdr:colOff>
      <xdr:row>17</xdr:row>
      <xdr:rowOff>200025</xdr:rowOff>
    </xdr:to>
    <xdr:sp macro="" textlink="">
      <xdr:nvSpPr>
        <xdr:cNvPr id="39" name="TextBox 38"/>
        <xdr:cNvSpPr txBox="1"/>
      </xdr:nvSpPr>
      <xdr:spPr>
        <a:xfrm>
          <a:off x="7991475" y="3924300"/>
          <a:ext cx="8096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>
              <a:solidFill>
                <a:schemeClr val="bg1"/>
              </a:solidFill>
            </a:rPr>
            <a:t>Rathedaung</a:t>
          </a:r>
        </a:p>
      </xdr:txBody>
    </xdr:sp>
    <xdr:clientData/>
  </xdr:twoCellAnchor>
  <xdr:twoCellAnchor>
    <xdr:from>
      <xdr:col>13</xdr:col>
      <xdr:colOff>0</xdr:colOff>
      <xdr:row>22</xdr:row>
      <xdr:rowOff>76200</xdr:rowOff>
    </xdr:from>
    <xdr:to>
      <xdr:col>14</xdr:col>
      <xdr:colOff>523875</xdr:colOff>
      <xdr:row>24</xdr:row>
      <xdr:rowOff>57150</xdr:rowOff>
    </xdr:to>
    <xdr:grpSp>
      <xdr:nvGrpSpPr>
        <xdr:cNvPr id="40" name="Group 39"/>
        <xdr:cNvGrpSpPr/>
      </xdr:nvGrpSpPr>
      <xdr:grpSpPr>
        <a:xfrm>
          <a:off x="7705725" y="5048250"/>
          <a:ext cx="1133475" cy="361950"/>
          <a:chOff x="8524874" y="4310063"/>
          <a:chExt cx="1166813" cy="367685"/>
        </a:xfrm>
      </xdr:grpSpPr>
      <xdr:sp macro="" textlink="">
        <xdr:nvSpPr>
          <xdr:cNvPr id="41" name="TextBox 40"/>
          <xdr:cNvSpPr txBox="1"/>
        </xdr:nvSpPr>
        <xdr:spPr>
          <a:xfrm>
            <a:off x="8524874" y="4393436"/>
            <a:ext cx="614035" cy="2843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>
                <a:solidFill>
                  <a:sysClr val="windowText" lastClr="000000"/>
                </a:solidFill>
              </a:rPr>
              <a:t>Sittwe</a:t>
            </a:r>
          </a:p>
        </xdr:txBody>
      </xdr:sp>
      <xdr:cxnSp macro="">
        <xdr:nvCxnSpPr>
          <xdr:cNvPr id="42" name="Straight Connector 41"/>
          <xdr:cNvCxnSpPr>
            <a:stCxn id="41" idx="3"/>
          </xdr:cNvCxnSpPr>
        </xdr:nvCxnSpPr>
        <xdr:spPr>
          <a:xfrm flipV="1">
            <a:off x="9138909" y="4310063"/>
            <a:ext cx="552778" cy="225483"/>
          </a:xfrm>
          <a:prstGeom prst="line">
            <a:avLst/>
          </a:prstGeom>
          <a:ln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28</xdr:row>
      <xdr:rowOff>152400</xdr:rowOff>
    </xdr:from>
    <xdr:to>
      <xdr:col>7</xdr:col>
      <xdr:colOff>171450</xdr:colOff>
      <xdr:row>46</xdr:row>
      <xdr:rowOff>47625</xdr:rowOff>
    </xdr:to>
    <xdr:graphicFrame macro="">
      <xdr:nvGraphicFramePr>
        <xdr:cNvPr id="43" name="Chart 42"/>
        <xdr:cNvGraphicFramePr/>
      </xdr:nvGraphicFramePr>
      <xdr:xfrm>
        <a:off x="0" y="6267450"/>
        <a:ext cx="4381500" cy="3324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200025</xdr:colOff>
      <xdr:row>5</xdr:row>
      <xdr:rowOff>104775</xdr:rowOff>
    </xdr:from>
    <xdr:to>
      <xdr:col>19</xdr:col>
      <xdr:colOff>438150</xdr:colOff>
      <xdr:row>7</xdr:row>
      <xdr:rowOff>38100</xdr:rowOff>
    </xdr:to>
    <xdr:sp macro="" textlink="">
      <xdr:nvSpPr>
        <xdr:cNvPr id="44" name="TextBox 43"/>
        <xdr:cNvSpPr txBox="1"/>
      </xdr:nvSpPr>
      <xdr:spPr>
        <a:xfrm>
          <a:off x="7905750" y="1628775"/>
          <a:ext cx="3895725" cy="3143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/>
            <a:t>Map</a:t>
          </a:r>
          <a:r>
            <a:rPr lang="en-US" sz="1400" b="1" baseline="0"/>
            <a:t> showing s</a:t>
          </a:r>
          <a:r>
            <a:rPr lang="en-US" sz="1400" b="1"/>
            <a:t>ize of IDP population by Township</a:t>
          </a:r>
        </a:p>
      </xdr:txBody>
    </xdr:sp>
    <xdr:clientData/>
  </xdr:twoCellAnchor>
  <xdr:twoCellAnchor>
    <xdr:from>
      <xdr:col>7</xdr:col>
      <xdr:colOff>419100</xdr:colOff>
      <xdr:row>29</xdr:row>
      <xdr:rowOff>47625</xdr:rowOff>
    </xdr:from>
    <xdr:to>
      <xdr:col>15</xdr:col>
      <xdr:colOff>104775</xdr:colOff>
      <xdr:row>43</xdr:row>
      <xdr:rowOff>161925</xdr:rowOff>
    </xdr:to>
    <xdr:graphicFrame macro="">
      <xdr:nvGraphicFramePr>
        <xdr:cNvPr id="45" name="Chart 44"/>
        <xdr:cNvGraphicFramePr/>
      </xdr:nvGraphicFramePr>
      <xdr:xfrm>
        <a:off x="4629150" y="6353175"/>
        <a:ext cx="4400550" cy="2781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85725</xdr:colOff>
      <xdr:row>0</xdr:row>
      <xdr:rowOff>66675</xdr:rowOff>
    </xdr:from>
    <xdr:to>
      <xdr:col>3</xdr:col>
      <xdr:colOff>457200</xdr:colOff>
      <xdr:row>0</xdr:row>
      <xdr:rowOff>438150</xdr:rowOff>
    </xdr:to>
    <xdr:sp macro="" textlink="">
      <xdr:nvSpPr>
        <xdr:cNvPr id="46" name="Rounded Rectangle 45">
          <a:hlinkClick r:id="rId9"/>
        </xdr:cNvPr>
        <xdr:cNvSpPr/>
      </xdr:nvSpPr>
      <xdr:spPr>
        <a:xfrm>
          <a:off x="85725" y="66675"/>
          <a:ext cx="1638300" cy="371475"/>
        </a:xfrm>
        <a:prstGeom prst="roundRect">
          <a:avLst/>
        </a:prstGeom>
        <a:ln>
          <a:solidFill>
            <a:schemeClr val="accent6">
              <a:lumMod val="60000"/>
              <a:lumOff val="40000"/>
            </a:schemeClr>
          </a:solidFill>
          <a:headEnd type="none"/>
          <a:tailEnd type="non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Home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35</xdr:col>
          <xdr:colOff>533400</xdr:colOff>
          <xdr:row>30</xdr:row>
          <xdr:rowOff>95250</xdr:rowOff>
        </xdr:from>
        <xdr:to>
          <xdr:col>39</xdr:col>
          <xdr:colOff>361950</xdr:colOff>
          <xdr:row>33</xdr:row>
          <xdr:rowOff>171450</xdr:rowOff>
        </xdr:to>
        <xdr:sp macro="" textlink="">
          <xdr:nvSpPr>
            <xdr:cNvPr id="13313" name="Button 1" hidden="1">
              <a:extLst xmlns:a="http://schemas.openxmlformats.org/drawingml/2006/main"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27432" rIns="27432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Calculate</a:t>
              </a:r>
            </a:p>
          </xdr:txBody>
        </xdr:sp>
        <xdr:clientData fPrintsWithSheet="0"/>
      </xdr:twoCellAnchor>
    </mc:Choice>
    <mc:Fallback/>
  </mc:AlternateContent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4" name="TextBox 3"/>
        <cdr:cNvSpPr txBox="1"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>
            <a:alpha val="70000"/>
          </a:srgbClr>
        </a:solidFill>
        <a:ln w="9525" cmpd="sng">
          <a:noFill/>
        </a:ln>
        <a:effectLst>
          <a:outerShdw blurRad="88900" dist="25400" dir="5400000" algn="t" rotWithShape="0">
            <a:prstClr val="black">
              <a:alpha val="11000"/>
            </a:prstClr>
          </a:outerShdw>
        </a:effectLst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tIns="0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400" baseline="0">
              <a:latin typeface="Franklin Gothic Medium Cond" pitchFamily="34" charset="0"/>
            </a:rPr>
            <a:t># of Camps by Township</a:t>
          </a:r>
          <a:endParaRPr lang="en-GB" sz="1400">
            <a:latin typeface="Franklin Gothic Medium Cond" pitchFamily="34" charset="0"/>
          </a:endParaRP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M-Myanmar\NFI%20Tracking\Rakhine\V6%20Draft%20Myanmar%20NFI%20Distribution%20Tracking_v12%2022%20Apr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tion%20Management\CoreRelief\V7%20Draft%20Myanmar%20NFI%20Distribution%20Tracking_v12%2031%20May%202013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NHCRuser\AppData\Local\Microsoft\Windows\Temporary%20Internet%20Files\Content.Outlook\SMFIAT6H\130605_Rakhine_2013_05_Cluster_Report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IM-Myanmar\Dashboard\Shelter,_NFI_&amp;_CCCM_Cluster_Reporting_Template_&amp;_Dashboard_(Rakhine)_v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NHCRuser\AppData\Local\Microsoft\Windows\Temporary%20Internet%20Files\Content.Outlook\SMFIAT6H\130531_Kachin_2013_05_Cluster_Report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tion%20Management\CoreRelief\Maungdaw_NFIdistribution_Cluster_Repor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overage &amp; Gaps"/>
      <sheetName val="Planning Figures"/>
      <sheetName val="Distribution Input"/>
      <sheetName val="Pipeline-Stock"/>
      <sheetName val="Agencies"/>
      <sheetName val="IDP Sites"/>
      <sheetName val="Dates of Distribution"/>
      <sheetName val="Core Relief Kit"/>
      <sheetName val="list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UNHCR</v>
          </cell>
        </row>
        <row r="3">
          <cell r="A3" t="str">
            <v>UNICEF </v>
          </cell>
        </row>
        <row r="4">
          <cell r="A4" t="str">
            <v>CARE</v>
          </cell>
        </row>
        <row r="5">
          <cell r="A5" t="str">
            <v>Malteser</v>
          </cell>
        </row>
        <row r="6">
          <cell r="A6" t="str">
            <v>Save the Children</v>
          </cell>
        </row>
        <row r="7">
          <cell r="A7" t="str">
            <v>Muslim Aid</v>
          </cell>
        </row>
        <row r="8">
          <cell r="A8" t="str">
            <v>MRCS</v>
          </cell>
        </row>
        <row r="9">
          <cell r="A9" t="str">
            <v>Mercy Malaysia</v>
          </cell>
        </row>
        <row r="10">
          <cell r="A10" t="str">
            <v>Solidarities</v>
          </cell>
        </row>
        <row r="11">
          <cell r="A11" t="str">
            <v>DRC</v>
          </cell>
        </row>
      </sheetData>
      <sheetData sheetId="6"/>
      <sheetData sheetId="7"/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overage &amp; Gaps"/>
      <sheetName val="Planning Figures"/>
      <sheetName val="Distribution Input"/>
      <sheetName val="Pipeline-Stock"/>
      <sheetName val="Agencies"/>
      <sheetName val="IDP Sites"/>
      <sheetName val="Dates of Distribution"/>
      <sheetName val="Core Relief Kit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G2" t="str">
            <v>Minbya</v>
          </cell>
        </row>
        <row r="3">
          <cell r="G3" t="str">
            <v>Mrauk_U</v>
          </cell>
        </row>
        <row r="4">
          <cell r="G4" t="str">
            <v>Meybon</v>
          </cell>
        </row>
        <row r="5">
          <cell r="G5" t="str">
            <v>Pauktaw</v>
          </cell>
        </row>
        <row r="6">
          <cell r="G6" t="str">
            <v>Kyauktaw</v>
          </cell>
        </row>
        <row r="7">
          <cell r="G7" t="str">
            <v>Rathedaung</v>
          </cell>
        </row>
        <row r="8">
          <cell r="G8" t="str">
            <v>Kyauk_Phyu</v>
          </cell>
        </row>
        <row r="9">
          <cell r="G9" t="str">
            <v>Ramree</v>
          </cell>
        </row>
        <row r="10">
          <cell r="G10" t="str">
            <v>Sittwe</v>
          </cell>
        </row>
        <row r="11">
          <cell r="G11" t="str">
            <v>Maungdaw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amp List"/>
      <sheetName val="wfp"/>
      <sheetName val="Bhamo"/>
      <sheetName val="Shelter Tracking"/>
      <sheetName val="NFI Tracking"/>
      <sheetName val="Pipeline Stock Tracking"/>
      <sheetName val="lis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Shelter_Tracking"/>
      <sheetName val="Coverage&amp;Gap_By_Township"/>
      <sheetName val="Coverage_By_Site"/>
      <sheetName val="Constructed_&amp;_Progress"/>
      <sheetName val="ControlVocab"/>
      <sheetName val="Admin"/>
      <sheetName val="IDP_Sites_Camps"/>
      <sheetName val="TownshipSummary"/>
      <sheetName val="Shelter-Dashboard"/>
      <sheetName val="CCCM Dashboard"/>
      <sheetName val="Shelter,_NFI_&amp;_CCCM_Cluster_Rep"/>
    </sheetNames>
    <definedNames>
      <definedName name="ThisWorkbook.Example2_Click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wfp"/>
      <sheetName val="Bhamo"/>
      <sheetName val="Camp list"/>
      <sheetName val="Shelter Tracking"/>
      <sheetName val="NFI Tracking"/>
      <sheetName val="Pipeline Stock Tracking"/>
      <sheetName val="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wfp"/>
      <sheetName val="Bhamo"/>
      <sheetName val="NFI Tracking"/>
      <sheetName val="Pipeline Stock Tracking"/>
      <sheetName val="list"/>
      <sheetName val="Kit"/>
      <sheetName val="List-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missingItemsLimit="0" createdVersion="4" recordCount="513" refreshedBy="UNHCRuser" refreshedVersion="4">
  <cacheSource type="worksheet">
    <worksheetSource name="Table_Shelter"/>
  </cacheSource>
  <cacheFields count="16">
    <cacheField name="DateUpdated">
      <sharedItems containsDate="1" containsBlank="1" containsMixedTypes="1" count="0"/>
    </cacheField>
    <cacheField name="Organization">
      <sharedItems containsBlank="1" containsMixedTypes="0" count="11">
        <s v="UNHCR"/>
        <s v="DRC"/>
        <s v="Government"/>
        <s v="CARE"/>
        <s v="Service City"/>
        <s v="MAUK"/>
        <s v="WFP"/>
        <s v="MRCS"/>
        <s v="MRF/ACT"/>
        <s v="IRW"/>
        <m/>
      </sharedItems>
    </cacheField>
    <cacheField name="ImplementingPartner">
      <sharedItems containsBlank="1" containsMixedTypes="0" count="0"/>
    </cacheField>
    <cacheField name="State">
      <sharedItems containsBlank="1" containsMixedTypes="0" count="3">
        <s v="Kachin"/>
        <s v="Rakhine"/>
        <m/>
      </sharedItems>
    </cacheField>
    <cacheField name="Township">
      <sharedItems containsBlank="1" containsMixedTypes="0" count="29">
        <s v="Bhamo"/>
        <s v="Loi Za"/>
        <s v="Man Si"/>
        <s v="Mansi"/>
        <s v="Manton"/>
        <s v="Moe Mauk"/>
        <s v="Moe Mauk "/>
        <s v="Mogaung"/>
        <s v="Mohnyin"/>
        <s v="Momauk"/>
        <s v="Myitkyina"/>
        <s v="Myitkyina    "/>
        <s v="Namhkan"/>
        <s v="Namtu"/>
        <s v="Phakant"/>
        <s v="Shwegu"/>
        <s v="Waingmaw"/>
        <s v="Chipwi"/>
        <s v="Maungdaw"/>
        <s v="Kyauk_Phyu"/>
        <s v="Kyauktaw"/>
        <s v="Meybon"/>
        <s v="Minbya"/>
        <s v="Mrauk_U"/>
        <s v="Pauktaw"/>
        <s v="Ramree"/>
        <s v="Rathedaung"/>
        <s v="Sittwe"/>
        <m/>
      </sharedItems>
    </cacheField>
    <cacheField name="CampName">
      <sharedItems containsBlank="1" containsMixedTypes="0" count="0"/>
    </cacheField>
    <cacheField name="HHperShelter">
      <sharedItems containsString="0" containsBlank="1" containsMixedTypes="0" containsNumber="1" containsInteger="1" count="0"/>
    </cacheField>
    <cacheField name="#ofFamilyTentPlanned(Target)">
      <sharedItems containsBlank="1" containsMixedTypes="1" containsNumber="1" containsInteger="1" count="0"/>
    </cacheField>
    <cacheField name="#ofFamilyTentDistributed">
      <sharedItems containsBlank="1" containsMixedTypes="1" containsNumber="1" containsInteger="1" count="0"/>
    </cacheField>
    <cacheField name="#ofTemporaryShelterPlanned(Target)">
      <sharedItems containsString="0" containsBlank="1" containsMixedTypes="0" containsNumber="1" containsInteger="1" count="0"/>
    </cacheField>
    <cacheField name="#ofTemporaryShelterBuilt">
      <sharedItems containsString="0" containsBlank="1" containsMixedTypes="0" containsNumber="1" containsInteger="1" count="0"/>
    </cacheField>
    <cacheField name="#ofTemporaryShelterUnderConstruction">
      <sharedItems containsString="0" containsBlank="1" containsMixedTypes="0" containsNumber="1" containsInteger="1" count="0"/>
    </cacheField>
    <cacheField name="#ofPermanentHousePlanned(Target)">
      <sharedItems containsString="0" containsBlank="1" containsMixedTypes="0" containsNumber="1" containsInteger="1" count="0"/>
    </cacheField>
    <cacheField name="#ofPermanentHouseBuilt">
      <sharedItems containsString="0" containsBlank="1" containsMixedTypes="0" containsNumber="1" containsInteger="1" count="0"/>
    </cacheField>
    <cacheField name="#ofPermanentHouseUnderConstruction">
      <sharedItems containsString="0" containsBlank="1" containsMixedTypes="0" containsNumber="1" containsInteger="1" count="0"/>
    </cacheField>
    <cacheField name="HHCovered">
      <sharedItems containsString="0" containsBlank="1" containsMixedTypes="0" containsNumber="1" containsInteger="1" count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4" refreshOnLoad="1" recordCount="253" refreshedBy="Ricouart" refreshedVersion="4">
  <cacheSource type="worksheet">
    <worksheetSource name="Table_NFI"/>
  </cacheSource>
  <cacheFields count="22">
    <cacheField name="Distribution Date">
      <sharedItems containsSemiMixedTypes="0" containsNonDate="0" containsDate="1" containsString="0" containsMixedTypes="0" count="0"/>
    </cacheField>
    <cacheField name="Organization">
      <sharedItems containsMixedTypes="0" count="10">
        <s v="UNHCR"/>
        <s v="Muslim Aid"/>
        <s v="UNICEF "/>
        <s v="KOICAT"/>
        <s v="DRC"/>
        <s v="Save the Children"/>
        <s v="UNFPA"/>
        <s v="ABCD"/>
        <s v="Solidarites International"/>
        <s v="CDN"/>
      </sharedItems>
    </cacheField>
    <cacheField name="Implementing Partner">
      <sharedItems containsBlank="1" containsMixedTypes="0" count="0"/>
    </cacheField>
    <cacheField name="State">
      <sharedItems containsMixedTypes="0" count="3">
        <s v="Kachin"/>
        <s v="Rakhine"/>
        <s v="UNHCR"/>
      </sharedItems>
    </cacheField>
    <cacheField name="Township">
      <sharedItems containsMixedTypes="0" count="15">
        <s v="Bhamo"/>
        <s v="Chipwi"/>
        <s v="Hpakan"/>
        <s v="Momauk"/>
        <s v="Waingmaw"/>
        <s v="Mrauk_U"/>
        <s v="Sittwe"/>
        <s v="Minbya"/>
        <s v="Pauktaw"/>
        <s v="Rathedaung"/>
        <s v="Maungdaw"/>
        <s v="Kyauktaw"/>
        <s v="Meybon"/>
        <s v="Kyauk_Phyu"/>
        <s v="Ramree"/>
      </sharedItems>
    </cacheField>
    <cacheField name="Camp Name">
      <sharedItems containsBlank="1" containsMixedTypes="0" count="0"/>
    </cacheField>
    <cacheField name="Hygiene Kit">
      <sharedItems containsString="0" containsBlank="1" containsMixedTypes="0" containsNumber="1" containsInteger="1" count="0"/>
    </cacheField>
    <cacheField name="NFI Core Kit">
      <sharedItems containsString="0" containsBlank="1" containsMixedTypes="0" containsNumber="1" containsInteger="1" count="0"/>
    </cacheField>
    <cacheField name="Sanitary Kit">
      <sharedItems containsString="0" containsBlank="1" containsMixedTypes="0" containsNumber="1" containsInteger="1" count="0"/>
    </cacheField>
    <cacheField name="Mosquitoe net">
      <sharedItems containsString="0" containsBlank="1" containsMixedTypes="0" containsNumber="1" containsInteger="1" count="0"/>
    </cacheField>
    <cacheField name="Tarpaulin">
      <sharedItems containsString="0" containsBlank="1" containsMixedTypes="0" containsNumber="1" containsInteger="1" count="0"/>
    </cacheField>
    <cacheField name="Blanket">
      <sharedItems containsString="0" containsBlank="1" containsMixedTypes="0" containsNumber="1" containsInteger="1" count="0"/>
    </cacheField>
    <cacheField name="Kitchen Set">
      <sharedItems containsString="0" containsBlank="1" containsMixedTypes="0" containsNumber="1" containsInteger="1" count="0"/>
    </cacheField>
    <cacheField name="Complementary Kit">
      <sharedItems containsString="0" containsBlank="1" containsMixedTypes="0" containsNumber="1" containsInteger="1" count="0"/>
    </cacheField>
    <cacheField name="Hygiene Kit2">
      <sharedItems containsSemiMixedTypes="0" containsString="0" containsMixedTypes="0" containsNumber="1" containsInteger="1" count="0"/>
    </cacheField>
    <cacheField name="NFI Core Kit3">
      <sharedItems containsSemiMixedTypes="0" containsString="0" containsMixedTypes="0" containsNumber="1" containsInteger="1" count="0"/>
    </cacheField>
    <cacheField name="Sanitary Kit4">
      <sharedItems containsSemiMixedTypes="0" containsString="0" containsMixedTypes="0" containsNumber="1" containsInteger="1" count="0"/>
    </cacheField>
    <cacheField name="Mosquitoe net5">
      <sharedItems containsSemiMixedTypes="0" containsString="0" containsMixedTypes="0" containsNumber="1" containsInteger="1" count="0"/>
    </cacheField>
    <cacheField name="Tarpaulin6">
      <sharedItems containsSemiMixedTypes="0" containsString="0" containsMixedTypes="0" containsNumber="1" containsInteger="1" count="0"/>
    </cacheField>
    <cacheField name="Blanket7">
      <sharedItems containsSemiMixedTypes="0" containsString="0" containsMixedTypes="0" containsNumber="1" containsInteger="1" count="0"/>
    </cacheField>
    <cacheField name="Kitchen Set8">
      <sharedItems containsSemiMixedTypes="0" containsString="0" containsMixedTypes="0" containsNumber="1" containsInteger="1" count="0"/>
    </cacheField>
    <cacheField name="Complementary Kit9">
      <sharedItems containsSemiMixedTypes="0" containsString="0" containsMixedTypes="0" containsNumber="1" containsInteger="1" count="0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4" refreshOnLoad="1" recordCount="294" refreshedBy="Ricouart" refreshedVersion="4">
  <cacheSource type="worksheet">
    <worksheetSource name="AllData_CampList"/>
  </cacheSource>
  <cacheFields count="23">
    <cacheField name="Sr.No">
      <sharedItems containsSemiMixedTypes="0" containsString="0" containsMixedTypes="0" containsNumber="1" containsInteger="1" count="0"/>
    </cacheField>
    <cacheField name="Update Date">
      <sharedItems containsDate="1" containsString="0" containsBlank="1" containsMixedTypes="0" count="0"/>
    </cacheField>
    <cacheField name="Status">
      <sharedItems containsBlank="1" containsMixedTypes="0" count="4">
        <s v="Open"/>
        <s v="Closed"/>
        <s v="Close"/>
        <m/>
      </sharedItems>
    </cacheField>
    <cacheField name="State">
      <sharedItems containsMixedTypes="0" count="2">
        <s v="Kachin"/>
        <s v="Rakhine"/>
      </sharedItems>
    </cacheField>
    <cacheField name="State_Pcode">
      <sharedItems containsBlank="1" containsMixedTypes="0" count="0"/>
    </cacheField>
    <cacheField name="TOWNSHIP_NAME">
      <sharedItems containsMixedTypes="0" count="30">
        <s v="Bhamo"/>
        <s v="Chipwi"/>
        <s v="Hpakan"/>
        <s v="Injangyang"/>
        <s v="Khaunglanhpu"/>
        <s v="Kutkai"/>
        <s v="Mansi"/>
        <s v="Manton"/>
        <s v="Mogaung"/>
        <s v="Mohnyin"/>
        <s v="Momauk"/>
        <s v="Muse"/>
        <s v="Myitkyina"/>
        <s v="Namhkan"/>
        <s v="Namtu"/>
        <s v="Puta-O"/>
        <s v="Shwegu"/>
        <s v="Waingmaw"/>
        <s v="Kyauk_Phyu"/>
        <s v="Kyauktaw"/>
        <s v="Maungdaw"/>
        <s v="Meybon"/>
        <s v="Minbya"/>
        <s v="Mrauk_U"/>
        <s v="Pauktaw"/>
        <s v="Ramree"/>
        <s v="Rathedaung"/>
        <s v="Sittwe"/>
        <s v="China"/>
        <s v="Mong Kar"/>
      </sharedItems>
    </cacheField>
    <cacheField name="Township_Pcode">
      <sharedItems containsBlank="1" containsMixedTypes="0" count="0"/>
    </cacheField>
    <cacheField name="VillageTrackWard_Name">
      <sharedItems containsBlank="1" containsMixedTypes="0" count="0"/>
    </cacheField>
    <cacheField name="VillageTrackWard_Pcode">
      <sharedItems containsBlank="1" containsMixedTypes="0" count="0"/>
    </cacheField>
    <cacheField name="Village_Name">
      <sharedItems containsBlank="1" containsMixedTypes="0" count="0"/>
    </cacheField>
    <cacheField name="Village_Pcode">
      <sharedItems containsBlank="1" containsMixedTypes="1" containsNumber="1" containsInteger="1" count="0"/>
    </cacheField>
    <cacheField name="Camp Name">
      <sharedItems containsMixedTypes="0" count="0"/>
    </cacheField>
    <cacheField name="P_Code">
      <sharedItems containsMixedTypes="0" count="0"/>
    </cacheField>
    <cacheField name="Accessibility">
      <sharedItems containsBlank="1" containsMixedTypes="0" count="0"/>
    </cacheField>
    <cacheField name="Longitude">
      <sharedItems containsBlank="1" containsMixedTypes="1" containsNumber="1" containsInteger="1" count="0"/>
    </cacheField>
    <cacheField name="Latitude">
      <sharedItems containsBlank="1" containsMixedTypes="1" containsNumber="1" containsInteger="1" count="0"/>
    </cacheField>
    <cacheField name="HH">
      <sharedItems containsMixedTypes="1" containsNumber="1" containsInteger="1" count="0"/>
    </cacheField>
    <cacheField name="Total">
      <sharedItems containsMixedTypes="1" containsNumber="1" containsInteger="1" count="0"/>
    </cacheField>
    <cacheField name="Avg">
      <sharedItems containsMixedTypes="1" containsNumber="1" containsInteger="1" count="0"/>
    </cacheField>
    <cacheField name="Source">
      <sharedItems containsMixedTypes="0" count="0"/>
    </cacheField>
    <cacheField name="Method">
      <sharedItems containsBlank="1" containsMixedTypes="0" count="0"/>
    </cacheField>
    <cacheField name="Type of Accomodation">
      <sharedItems containsBlank="1" containsMixedTypes="0" count="0"/>
    </cacheField>
    <cacheField name="Comment">
      <sharedItems containsBlank="1" containsMixedTypes="0" count="0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13">
  <r>
    <s v="30.5.2013"/>
    <x v="0"/>
    <s v="KBSS"/>
    <x v="0"/>
    <x v="0"/>
    <s v="AD-2000TharthanaCompound"/>
    <n v="10"/>
    <m/>
    <m/>
    <m/>
    <m/>
    <n v="1"/>
    <m/>
    <m/>
    <m/>
    <n v="10"/>
  </r>
  <r>
    <s v="30.5.2013"/>
    <x v="0"/>
    <s v="KBSS"/>
    <x v="0"/>
    <x v="0"/>
    <s v="AD-2000 Tharthana Compound"/>
    <n v="10"/>
    <m/>
    <m/>
    <m/>
    <m/>
    <n v="1"/>
    <m/>
    <m/>
    <m/>
    <n v="10"/>
  </r>
  <r>
    <s v="30.5.2013"/>
    <x v="0"/>
    <s v="UNHCR"/>
    <x v="0"/>
    <x v="0"/>
    <s v="AD-2000 Tharthana Compound"/>
    <n v="10"/>
    <m/>
    <m/>
    <m/>
    <m/>
    <n v="1"/>
    <m/>
    <m/>
    <m/>
    <n v="10"/>
  </r>
  <r>
    <s v="30.5.2013"/>
    <x v="0"/>
    <s v="UNHCR"/>
    <x v="0"/>
    <x v="0"/>
    <s v="Lisu Boarding-House"/>
    <n v="5"/>
    <m/>
    <m/>
    <m/>
    <m/>
    <n v="3"/>
    <m/>
    <m/>
    <m/>
    <n v="15"/>
  </r>
  <r>
    <s v="30.5.2013"/>
    <x v="0"/>
    <s v="UNHCR"/>
    <x v="0"/>
    <x v="0"/>
    <s v="Lisu Boarding-House"/>
    <n v="10"/>
    <m/>
    <m/>
    <m/>
    <m/>
    <n v="3"/>
    <m/>
    <m/>
    <m/>
    <n v="30"/>
  </r>
  <r>
    <s v="30.5.2013"/>
    <x v="0"/>
    <s v="UNHCR"/>
    <x v="0"/>
    <x v="0"/>
    <s v="Nant Hlaing Church"/>
    <n v="10"/>
    <m/>
    <m/>
    <m/>
    <m/>
    <n v="1"/>
    <m/>
    <m/>
    <m/>
    <n v="10"/>
  </r>
  <r>
    <s v="30.5.2013"/>
    <x v="0"/>
    <s v="UNHCR"/>
    <x v="0"/>
    <x v="0"/>
    <s v="Nant Hlaing Church"/>
    <n v="10"/>
    <m/>
    <m/>
    <m/>
    <m/>
    <n v="1"/>
    <m/>
    <m/>
    <m/>
    <n v="10"/>
  </r>
  <r>
    <s v="30.5.2013"/>
    <x v="0"/>
    <s v="UNHCR"/>
    <x v="0"/>
    <x v="0"/>
    <s v="Phan Khar Kone"/>
    <n v="10"/>
    <m/>
    <m/>
    <m/>
    <m/>
    <n v="3"/>
    <m/>
    <m/>
    <m/>
    <n v="30"/>
  </r>
  <r>
    <s v="30.5.2013"/>
    <x v="0"/>
    <s v="UNHCR"/>
    <x v="0"/>
    <x v="0"/>
    <s v="Robert Church"/>
    <n v="10"/>
    <m/>
    <m/>
    <m/>
    <m/>
    <n v="7"/>
    <m/>
    <m/>
    <m/>
    <n v="70"/>
  </r>
  <r>
    <s v="30.5.2013"/>
    <x v="0"/>
    <s v="UNHCR"/>
    <x v="0"/>
    <x v="0"/>
    <s v="Robert Church"/>
    <n v="10"/>
    <m/>
    <m/>
    <m/>
    <m/>
    <n v="3"/>
    <m/>
    <m/>
    <m/>
    <n v="30"/>
  </r>
  <r>
    <s v="30.5.2013"/>
    <x v="0"/>
    <s v="UNHCR"/>
    <x v="0"/>
    <x v="0"/>
    <s v="Ta Gun Taing Monastery (Shwe Kyi Na)"/>
    <n v="10"/>
    <m/>
    <m/>
    <m/>
    <m/>
    <n v="4"/>
    <m/>
    <m/>
    <m/>
    <n v="40"/>
  </r>
  <r>
    <s v="30.5.2013"/>
    <x v="0"/>
    <s v="UNHCR"/>
    <x v="0"/>
    <x v="0"/>
    <s v="Ta Gun Taing Monastery (Shwe Kyi Na)"/>
    <n v="10"/>
    <m/>
    <m/>
    <m/>
    <m/>
    <n v="4"/>
    <m/>
    <m/>
    <m/>
    <n v="40"/>
  </r>
  <r>
    <s v="30.5.2013"/>
    <x v="0"/>
    <s v="KBSS"/>
    <x v="0"/>
    <x v="1"/>
    <s v="Loi Je Catholic Church"/>
    <n v="10"/>
    <m/>
    <m/>
    <m/>
    <m/>
    <n v="15"/>
    <m/>
    <m/>
    <m/>
    <n v="150"/>
  </r>
  <r>
    <s v="30.5.2013"/>
    <x v="0"/>
    <s v="UNHCR"/>
    <x v="0"/>
    <x v="2"/>
    <s v="Mansi Baptist Church"/>
    <n v="10"/>
    <m/>
    <m/>
    <m/>
    <m/>
    <n v="2"/>
    <m/>
    <m/>
    <m/>
    <n v="20"/>
  </r>
  <r>
    <s v="30.5.2013"/>
    <x v="0"/>
    <s v="UNHCR"/>
    <x v="0"/>
    <x v="2"/>
    <s v="Mansi Baptist Church"/>
    <n v="10"/>
    <m/>
    <m/>
    <m/>
    <m/>
    <m/>
    <m/>
    <m/>
    <m/>
    <n v="0"/>
  </r>
  <r>
    <s v="30.5.2013"/>
    <x v="0"/>
    <s v="KBSS"/>
    <x v="0"/>
    <x v="3"/>
    <s v="Lana Zup Ja "/>
    <n v="10"/>
    <m/>
    <m/>
    <m/>
    <m/>
    <n v="10"/>
    <m/>
    <m/>
    <m/>
    <n v="100"/>
  </r>
  <r>
    <s v="30.5.2013"/>
    <x v="0"/>
    <s v="KBSS"/>
    <x v="0"/>
    <x v="3"/>
    <s v="Lana Zup Ja "/>
    <n v="10"/>
    <m/>
    <m/>
    <m/>
    <m/>
    <n v="35"/>
    <m/>
    <m/>
    <m/>
    <n v="350"/>
  </r>
  <r>
    <s v="30.5.2013"/>
    <x v="0"/>
    <s v="KBSS"/>
    <x v="0"/>
    <x v="3"/>
    <s v="Man Wing Catholic Church"/>
    <n v="5"/>
    <m/>
    <m/>
    <m/>
    <m/>
    <n v="5"/>
    <m/>
    <m/>
    <m/>
    <n v="25"/>
  </r>
  <r>
    <s v="30.5.2013"/>
    <x v="0"/>
    <s v="KBSS"/>
    <x v="0"/>
    <x v="3"/>
    <s v="Man Wing Catholic Church"/>
    <n v="10"/>
    <m/>
    <m/>
    <m/>
    <m/>
    <n v="20"/>
    <m/>
    <m/>
    <m/>
    <n v="200"/>
  </r>
  <r>
    <s v="30.5.2013"/>
    <x v="0"/>
    <s v="KBSS"/>
    <x v="0"/>
    <x v="3"/>
    <s v="Nam Lim Pa - Scattered IDPs in forest"/>
    <n v="10"/>
    <m/>
    <m/>
    <m/>
    <m/>
    <n v="4"/>
    <m/>
    <m/>
    <m/>
    <n v="40"/>
  </r>
  <r>
    <s v="30.5.2013"/>
    <x v="0"/>
    <s v="KBC"/>
    <x v="0"/>
    <x v="4"/>
    <s v="Howa"/>
    <n v="10"/>
    <m/>
    <m/>
    <m/>
    <m/>
    <n v="1"/>
    <m/>
    <m/>
    <m/>
    <n v="10"/>
  </r>
  <r>
    <s v="30.5.2013"/>
    <x v="0"/>
    <s v="KBC"/>
    <x v="0"/>
    <x v="4"/>
    <s v="Mandung - Jinghpaw"/>
    <n v="10"/>
    <m/>
    <m/>
    <m/>
    <m/>
    <n v="1"/>
    <m/>
    <m/>
    <m/>
    <n v="10"/>
  </r>
  <r>
    <s v="30.5.2013"/>
    <x v="0"/>
    <s v="UNHCR"/>
    <x v="0"/>
    <x v="5"/>
    <s v="Man Bung Catholic compound"/>
    <n v="6"/>
    <m/>
    <m/>
    <m/>
    <m/>
    <n v="2"/>
    <m/>
    <m/>
    <m/>
    <n v="12"/>
  </r>
  <r>
    <s v="30.5.2013"/>
    <x v="0"/>
    <s v="UNHCR"/>
    <x v="0"/>
    <x v="6"/>
    <s v="Momauk Baptist Church"/>
    <n v="10"/>
    <m/>
    <m/>
    <m/>
    <m/>
    <n v="5"/>
    <m/>
    <m/>
    <m/>
    <n v="50"/>
  </r>
  <r>
    <s v="30.5.2013"/>
    <x v="0"/>
    <s v="UNHCR"/>
    <x v="0"/>
    <x v="6"/>
    <s v="Momauk Baptist Church"/>
    <n v="10"/>
    <m/>
    <m/>
    <m/>
    <m/>
    <n v="3"/>
    <m/>
    <m/>
    <m/>
    <n v="30"/>
  </r>
  <r>
    <s v="30.5.2013"/>
    <x v="0"/>
    <s v="UNHCR"/>
    <x v="0"/>
    <x v="6"/>
    <s v="Ni Thaw Ka Monestry"/>
    <n v="5"/>
    <m/>
    <m/>
    <m/>
    <m/>
    <n v="1"/>
    <m/>
    <m/>
    <m/>
    <n v="5"/>
  </r>
  <r>
    <s v="30.5.2013"/>
    <x v="0"/>
    <s v="KBC"/>
    <x v="0"/>
    <x v="7"/>
    <s v="Kyun Taw Baptist Church "/>
    <n v="1"/>
    <m/>
    <m/>
    <m/>
    <m/>
    <n v="1"/>
    <m/>
    <m/>
    <m/>
    <n v="1"/>
  </r>
  <r>
    <s v="30.5.2013"/>
    <x v="0"/>
    <s v="KBC"/>
    <x v="0"/>
    <x v="7"/>
    <s v="Kyun Taw Baptist Church "/>
    <n v="5"/>
    <m/>
    <m/>
    <m/>
    <m/>
    <n v="1"/>
    <m/>
    <m/>
    <m/>
    <n v="5"/>
  </r>
  <r>
    <s v="30.5.2013"/>
    <x v="0"/>
    <s v="KBC"/>
    <x v="0"/>
    <x v="7"/>
    <s v="Kyun Taw Baptist Church "/>
    <n v="10"/>
    <m/>
    <m/>
    <m/>
    <m/>
    <n v="1"/>
    <m/>
    <m/>
    <m/>
    <n v="10"/>
  </r>
  <r>
    <s v="30.5.2013"/>
    <x v="0"/>
    <s v="KBC"/>
    <x v="0"/>
    <x v="7"/>
    <s v="Mang Hawng Baptist Church"/>
    <n v="1"/>
    <m/>
    <m/>
    <m/>
    <m/>
    <n v="1"/>
    <m/>
    <m/>
    <m/>
    <n v="1"/>
  </r>
  <r>
    <s v="30.5.2013"/>
    <x v="0"/>
    <s v="KBC"/>
    <x v="0"/>
    <x v="7"/>
    <s v="Mang Hawng Baptist Church"/>
    <n v="10"/>
    <m/>
    <m/>
    <m/>
    <m/>
    <n v="1"/>
    <m/>
    <m/>
    <m/>
    <n v="10"/>
  </r>
  <r>
    <s v="30.5.2013"/>
    <x v="0"/>
    <s v="KBC"/>
    <x v="0"/>
    <x v="7"/>
    <s v="Nat Gyi Kone Baptist Church "/>
    <n v="1"/>
    <m/>
    <m/>
    <m/>
    <m/>
    <n v="2"/>
    <m/>
    <m/>
    <m/>
    <n v="2"/>
  </r>
  <r>
    <s v="30.5.2013"/>
    <x v="0"/>
    <s v="KBC"/>
    <x v="0"/>
    <x v="7"/>
    <s v="Nat Gyi Kone Baptist Church "/>
    <n v="5"/>
    <m/>
    <m/>
    <m/>
    <m/>
    <n v="1"/>
    <m/>
    <m/>
    <m/>
    <n v="5"/>
  </r>
  <r>
    <s v="30.5.2013"/>
    <x v="0"/>
    <s v="KBC"/>
    <x v="0"/>
    <x v="7"/>
    <s v="Nat Gyi Kone Baptist Church "/>
    <n v="10"/>
    <m/>
    <m/>
    <m/>
    <m/>
    <n v="1"/>
    <m/>
    <m/>
    <m/>
    <n v="10"/>
  </r>
  <r>
    <s v="30.5.2013"/>
    <x v="0"/>
    <s v="KBC"/>
    <x v="0"/>
    <x v="8"/>
    <s v="Nawng Ing (Indawgyi) Baptist Church  "/>
    <n v="10"/>
    <m/>
    <m/>
    <m/>
    <m/>
    <n v="2"/>
    <m/>
    <m/>
    <m/>
    <n v="20"/>
  </r>
  <r>
    <s v="30.5.2013"/>
    <x v="0"/>
    <s v="KMSS"/>
    <x v="0"/>
    <x v="9"/>
    <s v="Dum Bung "/>
    <n v="1"/>
    <m/>
    <m/>
    <m/>
    <m/>
    <n v="2"/>
    <m/>
    <m/>
    <m/>
    <n v="2"/>
  </r>
  <r>
    <s v="30.5.2013"/>
    <x v="0"/>
    <s v="KMSS"/>
    <x v="0"/>
    <x v="9"/>
    <s v="Dum Bung "/>
    <n v="6"/>
    <m/>
    <m/>
    <m/>
    <m/>
    <n v="2"/>
    <m/>
    <m/>
    <m/>
    <n v="12"/>
  </r>
  <r>
    <s v="30.5.2013"/>
    <x v="0"/>
    <s v="KMSS"/>
    <x v="0"/>
    <x v="9"/>
    <s v="Dum Bung "/>
    <n v="10"/>
    <m/>
    <m/>
    <m/>
    <m/>
    <n v="10"/>
    <m/>
    <m/>
    <m/>
    <n v="100"/>
  </r>
  <r>
    <s v="30.5.2013"/>
    <x v="0"/>
    <s v="KMSS"/>
    <x v="0"/>
    <x v="9"/>
    <s v="Dum Bung "/>
    <n v="11"/>
    <m/>
    <m/>
    <m/>
    <m/>
    <n v="1"/>
    <m/>
    <m/>
    <m/>
    <n v="11"/>
  </r>
  <r>
    <s v="30.5.2013"/>
    <x v="0"/>
    <s v="KBSS"/>
    <x v="0"/>
    <x v="9"/>
    <s v="Je Yang Hka "/>
    <n v="10"/>
    <m/>
    <m/>
    <m/>
    <m/>
    <n v="25"/>
    <m/>
    <m/>
    <m/>
    <n v="250"/>
  </r>
  <r>
    <s v="30.5.2013"/>
    <x v="0"/>
    <s v="UNHCR"/>
    <x v="0"/>
    <x v="9"/>
    <s v="Loi Je Baptist Church"/>
    <n v="6"/>
    <m/>
    <m/>
    <m/>
    <m/>
    <n v="2"/>
    <m/>
    <m/>
    <m/>
    <n v="12"/>
  </r>
  <r>
    <s v="30.5.2013"/>
    <x v="0"/>
    <s v="UNHCR"/>
    <x v="0"/>
    <x v="9"/>
    <s v="Loi Je Baptist Church"/>
    <n v="8"/>
    <m/>
    <m/>
    <m/>
    <m/>
    <n v="1"/>
    <m/>
    <m/>
    <m/>
    <n v="8"/>
  </r>
  <r>
    <s v="30.5.2013"/>
    <x v="0"/>
    <s v="KBSS"/>
    <x v="0"/>
    <x v="9"/>
    <s v="Loi Je Catholic Church"/>
    <n v="6"/>
    <m/>
    <m/>
    <m/>
    <m/>
    <n v="1"/>
    <m/>
    <m/>
    <m/>
    <n v="6"/>
  </r>
  <r>
    <s v="30.5.2013"/>
    <x v="0"/>
    <s v="UNHCR"/>
    <x v="0"/>
    <x v="9"/>
    <s v="Loi Je Lisu Camp"/>
    <n v="10"/>
    <m/>
    <m/>
    <m/>
    <m/>
    <n v="4"/>
    <m/>
    <m/>
    <m/>
    <n v="40"/>
  </r>
  <r>
    <s v="30.5.2013"/>
    <x v="0"/>
    <s v="UNHCR"/>
    <x v="0"/>
    <x v="9"/>
    <s v="Loi Je Lisu Camp"/>
    <n v="10"/>
    <m/>
    <m/>
    <m/>
    <m/>
    <n v="6"/>
    <m/>
    <m/>
    <m/>
    <n v="60"/>
  </r>
  <r>
    <s v="30.5.2013"/>
    <x v="0"/>
    <s v="KBSS"/>
    <x v="0"/>
    <x v="9"/>
    <s v="Man Bung Catholic compound"/>
    <n v="10"/>
    <m/>
    <m/>
    <m/>
    <m/>
    <n v="1"/>
    <m/>
    <m/>
    <m/>
    <n v="10"/>
  </r>
  <r>
    <s v="30.5.2013"/>
    <x v="0"/>
    <s v="KBSS"/>
    <x v="0"/>
    <x v="9"/>
    <s v="Man Bung Catholic compound"/>
    <n v="10"/>
    <m/>
    <m/>
    <m/>
    <m/>
    <n v="4"/>
    <m/>
    <m/>
    <m/>
    <n v="40"/>
  </r>
  <r>
    <s v="30.5.2013"/>
    <x v="0"/>
    <s v="UNHCR"/>
    <x v="0"/>
    <x v="9"/>
    <s v="Nyaung Na Pin "/>
    <n v="10"/>
    <m/>
    <m/>
    <m/>
    <m/>
    <n v="2"/>
    <m/>
    <m/>
    <m/>
    <n v="20"/>
  </r>
  <r>
    <s v="30.5.2013"/>
    <x v="0"/>
    <s v="UNHCR"/>
    <x v="0"/>
    <x v="9"/>
    <s v="Nyaung Na Pin "/>
    <n v="10"/>
    <m/>
    <m/>
    <m/>
    <m/>
    <n v="5"/>
    <m/>
    <m/>
    <m/>
    <n v="50"/>
  </r>
  <r>
    <s v="30.5.2013"/>
    <x v="0"/>
    <s v="KBSS"/>
    <x v="0"/>
    <x v="9"/>
    <s v="Pa Kahtawng "/>
    <n v="10"/>
    <m/>
    <m/>
    <m/>
    <m/>
    <n v="13"/>
    <m/>
    <m/>
    <m/>
    <n v="130"/>
  </r>
  <r>
    <s v="30.5.2013"/>
    <x v="0"/>
    <s v="KBSS"/>
    <x v="0"/>
    <x v="9"/>
    <s v="Pa Kahtawng "/>
    <n v="10"/>
    <m/>
    <m/>
    <m/>
    <m/>
    <n v="6"/>
    <m/>
    <m/>
    <m/>
    <n v="60"/>
  </r>
  <r>
    <s v="30.5.2013"/>
    <x v="0"/>
    <s v="UNHCR"/>
    <x v="0"/>
    <x v="9"/>
    <s v="Seng Ja "/>
    <n v="10"/>
    <m/>
    <m/>
    <m/>
    <m/>
    <n v="4"/>
    <m/>
    <m/>
    <m/>
    <n v="40"/>
  </r>
  <r>
    <s v="30.5.2013"/>
    <x v="0"/>
    <s v="UNHCR"/>
    <x v="0"/>
    <x v="9"/>
    <s v="Seng Ja "/>
    <n v="10"/>
    <m/>
    <m/>
    <m/>
    <m/>
    <n v="2"/>
    <m/>
    <m/>
    <m/>
    <n v="20"/>
  </r>
  <r>
    <s v="30.5.2013"/>
    <x v="0"/>
    <s v="KBC"/>
    <x v="0"/>
    <x v="10"/>
    <s v="Du Kahtawng Qtr. 14"/>
    <n v="1"/>
    <m/>
    <m/>
    <m/>
    <m/>
    <n v="1"/>
    <m/>
    <m/>
    <m/>
    <n v="1"/>
  </r>
  <r>
    <s v="30.5.2013"/>
    <x v="0"/>
    <s v="KBC"/>
    <x v="0"/>
    <x v="10"/>
    <s v="Du Kahtawng Qtr. 4"/>
    <n v="1"/>
    <m/>
    <m/>
    <m/>
    <m/>
    <n v="1"/>
    <m/>
    <m/>
    <m/>
    <n v="1"/>
  </r>
  <r>
    <s v="30.5.2013"/>
    <x v="0"/>
    <s v="KBC"/>
    <x v="0"/>
    <x v="10"/>
    <s v="Du Kahtawng Qtr. 5"/>
    <n v="1"/>
    <m/>
    <m/>
    <m/>
    <m/>
    <n v="1"/>
    <m/>
    <m/>
    <m/>
    <n v="1"/>
  </r>
  <r>
    <s v="30.5.2013"/>
    <x v="0"/>
    <s v="KBC"/>
    <x v="0"/>
    <x v="10"/>
    <s v="Jan Mai Kawng Baptist Church"/>
    <n v="1"/>
    <m/>
    <m/>
    <m/>
    <m/>
    <n v="1"/>
    <m/>
    <m/>
    <m/>
    <n v="1"/>
  </r>
  <r>
    <s v="30.5.2013"/>
    <x v="0"/>
    <s v="KBC"/>
    <x v="0"/>
    <x v="10"/>
    <s v="Jan Mai Kawng Baptist Church"/>
    <n v="1"/>
    <m/>
    <m/>
    <m/>
    <m/>
    <n v="1"/>
    <m/>
    <m/>
    <m/>
    <n v="1"/>
  </r>
  <r>
    <s v="30.5.2013"/>
    <x v="0"/>
    <s v="KBC"/>
    <x v="0"/>
    <x v="10"/>
    <s v="Jan Mai Kawng Baptist Church"/>
    <n v="10"/>
    <m/>
    <m/>
    <m/>
    <m/>
    <n v="2"/>
    <m/>
    <m/>
    <m/>
    <n v="20"/>
  </r>
  <r>
    <s v="30.5.2013"/>
    <x v="0"/>
    <s v="KMSS"/>
    <x v="0"/>
    <x v="10"/>
    <s v="Jan Mai Kawng Catholic Church"/>
    <n v="1"/>
    <m/>
    <m/>
    <m/>
    <m/>
    <n v="1"/>
    <m/>
    <m/>
    <m/>
    <n v="1"/>
  </r>
  <r>
    <s v="30.5.2013"/>
    <x v="0"/>
    <s v="KMSS"/>
    <x v="0"/>
    <x v="10"/>
    <s v="Jan Mai Kawng Catholic Church"/>
    <n v="10"/>
    <m/>
    <m/>
    <m/>
    <m/>
    <n v="2"/>
    <m/>
    <m/>
    <m/>
    <n v="20"/>
  </r>
  <r>
    <s v="30.5.2013"/>
    <x v="0"/>
    <s v="KBC"/>
    <x v="0"/>
    <x v="10"/>
    <s v="Kyun Pin Thar Baptist Church"/>
    <n v="5"/>
    <m/>
    <m/>
    <m/>
    <m/>
    <n v="1"/>
    <m/>
    <m/>
    <m/>
    <n v="5"/>
  </r>
  <r>
    <s v="30.5.2013"/>
    <x v="0"/>
    <s v="KBC"/>
    <x v="0"/>
    <x v="10"/>
    <s v="Le Kone Bethlehem Church"/>
    <n v="1"/>
    <m/>
    <m/>
    <m/>
    <m/>
    <n v="2"/>
    <m/>
    <m/>
    <m/>
    <n v="2"/>
  </r>
  <r>
    <s v="30.5.2013"/>
    <x v="0"/>
    <s v="KBC"/>
    <x v="0"/>
    <x v="10"/>
    <s v="Le Kone Bethlehem Church"/>
    <n v="10"/>
    <m/>
    <m/>
    <m/>
    <m/>
    <n v="1"/>
    <m/>
    <m/>
    <m/>
    <n v="10"/>
  </r>
  <r>
    <s v="30.5.2013"/>
    <x v="0"/>
    <s v="KBC"/>
    <x v="0"/>
    <x v="10"/>
    <s v="Le Kone Ziun Baptist Church "/>
    <n v="10"/>
    <m/>
    <m/>
    <m/>
    <m/>
    <n v="33"/>
    <m/>
    <m/>
    <m/>
    <n v="330"/>
  </r>
  <r>
    <s v="30.5.2013"/>
    <x v="0"/>
    <s v="KBC"/>
    <x v="0"/>
    <x v="10"/>
    <s v="Maliyang Baptist Church"/>
    <n v="1"/>
    <m/>
    <m/>
    <m/>
    <m/>
    <n v="2"/>
    <m/>
    <m/>
    <m/>
    <n v="2"/>
  </r>
  <r>
    <s v="30.5.2013"/>
    <x v="0"/>
    <s v="KBC"/>
    <x v="0"/>
    <x v="10"/>
    <s v="Maliyang Baptist Church"/>
    <n v="5"/>
    <m/>
    <m/>
    <m/>
    <m/>
    <n v="4"/>
    <m/>
    <m/>
    <m/>
    <n v="20"/>
  </r>
  <r>
    <s v="30.5.2013"/>
    <x v="0"/>
    <s v="KBC"/>
    <x v="0"/>
    <x v="10"/>
    <s v="Maliyang Baptist Church"/>
    <n v="10"/>
    <m/>
    <m/>
    <m/>
    <m/>
    <n v="40"/>
    <m/>
    <m/>
    <m/>
    <n v="400"/>
  </r>
  <r>
    <s v="30.5.2013"/>
    <x v="0"/>
    <s v="KBC"/>
    <x v="0"/>
    <x v="10"/>
    <s v="Man Hkring Baptist Church"/>
    <n v="1"/>
    <m/>
    <m/>
    <m/>
    <m/>
    <n v="3"/>
    <m/>
    <m/>
    <m/>
    <n v="3"/>
  </r>
  <r>
    <s v="30.5.2013"/>
    <x v="0"/>
    <s v="KBC"/>
    <x v="0"/>
    <x v="10"/>
    <s v="Man Hkring Baptist Church"/>
    <n v="10"/>
    <m/>
    <m/>
    <m/>
    <m/>
    <n v="6"/>
    <m/>
    <m/>
    <m/>
    <n v="60"/>
  </r>
  <r>
    <s v="30.5.2013"/>
    <x v="0"/>
    <s v="Shalom"/>
    <x v="0"/>
    <x v="10"/>
    <s v="Maw Hpawng Hka Nan Baptist Church"/>
    <n v="1"/>
    <m/>
    <m/>
    <m/>
    <m/>
    <n v="1"/>
    <m/>
    <m/>
    <m/>
    <n v="1"/>
  </r>
  <r>
    <s v="30.5.2013"/>
    <x v="0"/>
    <s v="Shalom"/>
    <x v="0"/>
    <x v="10"/>
    <s v="Maw Hpawng Hka Nan Baptist Church"/>
    <n v="1"/>
    <m/>
    <m/>
    <m/>
    <m/>
    <n v="1"/>
    <m/>
    <m/>
    <m/>
    <n v="1"/>
  </r>
  <r>
    <s v="30.5.2013"/>
    <x v="0"/>
    <s v="Shalom"/>
    <x v="0"/>
    <x v="10"/>
    <s v="Maw Hpawng Hka Nan Baptist Church"/>
    <n v="10"/>
    <m/>
    <m/>
    <m/>
    <m/>
    <n v="1"/>
    <m/>
    <m/>
    <m/>
    <n v="10"/>
  </r>
  <r>
    <s v="30.5.2013"/>
    <x v="0"/>
    <s v="Shalom"/>
    <x v="0"/>
    <x v="10"/>
    <s v="Maw Hpawng Lhaovo Baptist Church"/>
    <n v="1"/>
    <m/>
    <m/>
    <m/>
    <m/>
    <n v="1"/>
    <m/>
    <m/>
    <m/>
    <n v="1"/>
  </r>
  <r>
    <s v="30.5.2013"/>
    <x v="0"/>
    <s v="Shalom"/>
    <x v="0"/>
    <x v="10"/>
    <s v="Maw Hpawng Lhaovo Baptist Church"/>
    <n v="4"/>
    <m/>
    <m/>
    <m/>
    <m/>
    <n v="1"/>
    <m/>
    <m/>
    <m/>
    <n v="4"/>
  </r>
  <r>
    <s v="30.5.2013"/>
    <x v="0"/>
    <s v="Shalom"/>
    <x v="0"/>
    <x v="10"/>
    <s v="Maw Hpawng Lhaovo Baptist Church"/>
    <n v="5"/>
    <m/>
    <m/>
    <m/>
    <m/>
    <n v="1"/>
    <m/>
    <m/>
    <m/>
    <n v="5"/>
  </r>
  <r>
    <s v="30.5.2013"/>
    <x v="0"/>
    <s v="Shalom"/>
    <x v="0"/>
    <x v="10"/>
    <s v="Maw Hpawng Lhaovo Baptist Church"/>
    <n v="10"/>
    <m/>
    <m/>
    <m/>
    <m/>
    <n v="1"/>
    <m/>
    <m/>
    <m/>
    <n v="10"/>
  </r>
  <r>
    <s v="30.5.2013"/>
    <x v="0"/>
    <s v="KBC"/>
    <x v="0"/>
    <x v="10"/>
    <s v="Njang Dung Baptist Church "/>
    <n v="1"/>
    <m/>
    <m/>
    <m/>
    <m/>
    <n v="1"/>
    <m/>
    <m/>
    <m/>
    <n v="1"/>
  </r>
  <r>
    <s v="30.5.2013"/>
    <x v="0"/>
    <s v="KBC"/>
    <x v="0"/>
    <x v="10"/>
    <s v="Njang Dung Baptist Church "/>
    <n v="5"/>
    <m/>
    <m/>
    <m/>
    <m/>
    <n v="1"/>
    <m/>
    <m/>
    <m/>
    <n v="5"/>
  </r>
  <r>
    <s v="30.5.2013"/>
    <x v="0"/>
    <s v="KBC"/>
    <x v="0"/>
    <x v="10"/>
    <s v="Njang Dung Baptist Church "/>
    <n v="7"/>
    <m/>
    <m/>
    <m/>
    <m/>
    <n v="1"/>
    <m/>
    <m/>
    <m/>
    <n v="7"/>
  </r>
  <r>
    <s v="30.5.2013"/>
    <x v="0"/>
    <s v="KBC"/>
    <x v="0"/>
    <x v="10"/>
    <s v="Njang Dung Baptist Church "/>
    <n v="8"/>
    <m/>
    <m/>
    <m/>
    <m/>
    <n v="1"/>
    <m/>
    <m/>
    <m/>
    <n v="8"/>
  </r>
  <r>
    <s v="30.5.2013"/>
    <x v="0"/>
    <s v="KMSS"/>
    <x v="0"/>
    <x v="10"/>
    <s v="Nong Pong Camp"/>
    <n v="1"/>
    <m/>
    <m/>
    <m/>
    <m/>
    <n v="1"/>
    <m/>
    <m/>
    <m/>
    <n v="1"/>
  </r>
  <r>
    <s v="30.5.2013"/>
    <x v="0"/>
    <s v="KMSS"/>
    <x v="0"/>
    <x v="10"/>
    <s v="Nong Pong Camp"/>
    <n v="1"/>
    <m/>
    <m/>
    <m/>
    <m/>
    <n v="1"/>
    <m/>
    <m/>
    <m/>
    <n v="1"/>
  </r>
  <r>
    <s v="30.5.2013"/>
    <x v="0"/>
    <s v="KMSS"/>
    <x v="0"/>
    <x v="10"/>
    <s v="Nong Pong Camp"/>
    <n v="10"/>
    <m/>
    <m/>
    <m/>
    <m/>
    <n v="2"/>
    <m/>
    <m/>
    <m/>
    <n v="20"/>
  </r>
  <r>
    <s v="30.5.2013"/>
    <x v="0"/>
    <s v="KBC"/>
    <x v="0"/>
    <x v="10"/>
    <s v="Shatapru Sut Ngai Tawng"/>
    <n v="1"/>
    <m/>
    <m/>
    <m/>
    <m/>
    <n v="1"/>
    <m/>
    <m/>
    <m/>
    <n v="1"/>
  </r>
  <r>
    <s v="30.5.2013"/>
    <x v="0"/>
    <s v="KBC"/>
    <x v="0"/>
    <x v="10"/>
    <s v="Shatapru Sut Ngai Tawng"/>
    <n v="10"/>
    <m/>
    <m/>
    <m/>
    <m/>
    <n v="1"/>
    <m/>
    <m/>
    <m/>
    <n v="10"/>
  </r>
  <r>
    <s v="30.5.2013"/>
    <x v="0"/>
    <s v="KBC"/>
    <x v="0"/>
    <x v="10"/>
    <s v="Shwe Zet Baptist Church"/>
    <n v="1"/>
    <m/>
    <m/>
    <m/>
    <m/>
    <n v="1"/>
    <m/>
    <m/>
    <m/>
    <n v="1"/>
  </r>
  <r>
    <s v="30.5.2013"/>
    <x v="0"/>
    <s v="KBC"/>
    <x v="0"/>
    <x v="10"/>
    <s v="Shwe Zet Baptist Church"/>
    <n v="4"/>
    <m/>
    <m/>
    <m/>
    <m/>
    <n v="1"/>
    <m/>
    <m/>
    <m/>
    <n v="4"/>
  </r>
  <r>
    <s v="30.5.2013"/>
    <x v="0"/>
    <s v="KBC"/>
    <x v="0"/>
    <x v="10"/>
    <s v="Shwe Zet Baptist Church"/>
    <n v="8"/>
    <m/>
    <m/>
    <m/>
    <m/>
    <n v="1"/>
    <m/>
    <m/>
    <m/>
    <n v="8"/>
  </r>
  <r>
    <s v="30.5.2013"/>
    <x v="0"/>
    <s v="KBC"/>
    <x v="0"/>
    <x v="10"/>
    <s v="Shwe Zet Baptist Church"/>
    <n v="10"/>
    <m/>
    <m/>
    <m/>
    <m/>
    <n v="2"/>
    <m/>
    <m/>
    <m/>
    <n v="20"/>
  </r>
  <r>
    <s v="30.5.2013"/>
    <x v="0"/>
    <s v="KBC"/>
    <x v="0"/>
    <x v="10"/>
    <s v="Shwe Zet Baptist Church"/>
    <n v="10"/>
    <m/>
    <m/>
    <m/>
    <m/>
    <n v="3"/>
    <m/>
    <m/>
    <m/>
    <n v="30"/>
  </r>
  <r>
    <s v="30.5.2013"/>
    <x v="0"/>
    <s v="KBC"/>
    <x v="0"/>
    <x v="10"/>
    <s v="Tat Kone Baptist Church"/>
    <n v="1"/>
    <m/>
    <m/>
    <m/>
    <m/>
    <n v="2"/>
    <m/>
    <m/>
    <m/>
    <n v="2"/>
  </r>
  <r>
    <s v="30.5.2013"/>
    <x v="0"/>
    <s v="KBC"/>
    <x v="0"/>
    <x v="10"/>
    <s v="Tat Kone Baptist Church"/>
    <n v="10"/>
    <m/>
    <m/>
    <m/>
    <m/>
    <n v="5"/>
    <m/>
    <m/>
    <m/>
    <n v="50"/>
  </r>
  <r>
    <s v="30.5.2013"/>
    <x v="0"/>
    <s v="KBC"/>
    <x v="0"/>
    <x v="10"/>
    <s v="Tat Kone Baptist Church"/>
    <n v="10"/>
    <m/>
    <m/>
    <m/>
    <m/>
    <n v="2"/>
    <m/>
    <m/>
    <m/>
    <n v="20"/>
  </r>
  <r>
    <s v="30.5.2013"/>
    <x v="0"/>
    <s v="Shalom"/>
    <x v="0"/>
    <x v="10"/>
    <s v="Tat Kone COC Baptist / Tat Kone Htoi San"/>
    <n v="1"/>
    <m/>
    <m/>
    <m/>
    <m/>
    <n v="1"/>
    <m/>
    <m/>
    <m/>
    <n v="1"/>
  </r>
  <r>
    <s v="30.5.2013"/>
    <x v="0"/>
    <s v="Shalom"/>
    <x v="0"/>
    <x v="10"/>
    <s v="Tat Kone COC Baptist / Tat Kone Htoi San"/>
    <n v="1"/>
    <m/>
    <m/>
    <m/>
    <m/>
    <n v="1"/>
    <m/>
    <m/>
    <m/>
    <n v="1"/>
  </r>
  <r>
    <s v="30.5.2013"/>
    <x v="0"/>
    <s v="Shalom"/>
    <x v="0"/>
    <x v="10"/>
    <s v="Tat Kone COC Baptist / Tat Kone Htoi San"/>
    <n v="10"/>
    <m/>
    <m/>
    <m/>
    <m/>
    <n v="1"/>
    <m/>
    <m/>
    <m/>
    <n v="10"/>
  </r>
  <r>
    <s v="30.5.2013"/>
    <x v="0"/>
    <s v="Shalom"/>
    <x v="0"/>
    <x v="10"/>
    <s v="Tat Kone COC Baptist / Tat Kone Htoi San"/>
    <n v="10"/>
    <m/>
    <m/>
    <m/>
    <m/>
    <n v="1"/>
    <m/>
    <m/>
    <m/>
    <n v="10"/>
  </r>
  <r>
    <s v="30.5.2013"/>
    <x v="0"/>
    <s v="KBC"/>
    <x v="0"/>
    <x v="10"/>
    <s v="Tat Kone Galile Baptist Church"/>
    <n v="1"/>
    <m/>
    <m/>
    <m/>
    <m/>
    <n v="1"/>
    <m/>
    <m/>
    <m/>
    <n v="1"/>
  </r>
  <r>
    <s v="30.5.2013"/>
    <x v="0"/>
    <s v="KBC"/>
    <x v="0"/>
    <x v="10"/>
    <s v="Tat Kone Galile Baptist Church"/>
    <n v="1"/>
    <m/>
    <m/>
    <m/>
    <m/>
    <n v="1"/>
    <m/>
    <m/>
    <m/>
    <n v="1"/>
  </r>
  <r>
    <s v="30.5.2013"/>
    <x v="0"/>
    <s v="KBC"/>
    <x v="0"/>
    <x v="10"/>
    <s v="Tat Kone Galile Baptist Church"/>
    <n v="10"/>
    <m/>
    <m/>
    <m/>
    <m/>
    <n v="2"/>
    <m/>
    <m/>
    <m/>
    <n v="20"/>
  </r>
  <r>
    <s v="30.5.2013"/>
    <x v="0"/>
    <s v="KBC"/>
    <x v="0"/>
    <x v="10"/>
    <s v="Tat Kone San Pya Baptist Church"/>
    <n v="1"/>
    <m/>
    <m/>
    <m/>
    <m/>
    <n v="1"/>
    <m/>
    <m/>
    <m/>
    <n v="1"/>
  </r>
  <r>
    <s v="30.5.2013"/>
    <x v="0"/>
    <s v="Shalom"/>
    <x v="0"/>
    <x v="10"/>
    <s v="Tat Kone San Pya Baptist Church"/>
    <n v="1"/>
    <m/>
    <m/>
    <m/>
    <m/>
    <n v="1"/>
    <m/>
    <m/>
    <m/>
    <n v="1"/>
  </r>
  <r>
    <s v="30.5.2013"/>
    <x v="0"/>
    <s v="Shalom"/>
    <x v="0"/>
    <x v="10"/>
    <s v="Tat Kone San Pya Baptist Church"/>
    <n v="1"/>
    <m/>
    <m/>
    <m/>
    <m/>
    <n v="1"/>
    <m/>
    <m/>
    <m/>
    <n v="1"/>
  </r>
  <r>
    <s v="30.5.2013"/>
    <x v="0"/>
    <s v="KBC"/>
    <x v="0"/>
    <x v="10"/>
    <s v="Tat Kone San Pya Baptist Church"/>
    <n v="5"/>
    <m/>
    <m/>
    <m/>
    <m/>
    <n v="2"/>
    <m/>
    <m/>
    <m/>
    <n v="10"/>
  </r>
  <r>
    <s v="30.5.2013"/>
    <x v="0"/>
    <s v="Shalom"/>
    <x v="0"/>
    <x v="10"/>
    <s v="Tat Kone San Pya Baptist Church"/>
    <n v="5"/>
    <m/>
    <m/>
    <m/>
    <m/>
    <n v="1"/>
    <m/>
    <m/>
    <m/>
    <n v="5"/>
  </r>
  <r>
    <s v="30.5.2013"/>
    <x v="0"/>
    <s v="Shalom"/>
    <x v="0"/>
    <x v="10"/>
    <s v="Wun Tho Buddhist Monastery"/>
    <n v="1"/>
    <m/>
    <m/>
    <m/>
    <m/>
    <n v="1"/>
    <m/>
    <m/>
    <m/>
    <n v="1"/>
  </r>
  <r>
    <s v="30.5.2013"/>
    <x v="0"/>
    <s v="Shalom"/>
    <x v="0"/>
    <x v="10"/>
    <s v="Wun Tho Buddhist Monastery"/>
    <n v="12"/>
    <m/>
    <m/>
    <m/>
    <m/>
    <n v="1"/>
    <m/>
    <m/>
    <m/>
    <n v="12"/>
  </r>
  <r>
    <s v="30.5.2013"/>
    <x v="0"/>
    <s v="Shalom"/>
    <x v="0"/>
    <x v="10"/>
    <s v="Wun Tho Buddhist Monastery"/>
    <n v="12"/>
    <m/>
    <m/>
    <m/>
    <m/>
    <n v="1"/>
    <m/>
    <m/>
    <m/>
    <n v="12"/>
  </r>
  <r>
    <s v="30.5.2013"/>
    <x v="0"/>
    <s v="UNHCR"/>
    <x v="0"/>
    <x v="11"/>
    <s v="Du Kahtawng Qtr. 14"/>
    <n v="3"/>
    <m/>
    <m/>
    <m/>
    <m/>
    <n v="1"/>
    <m/>
    <m/>
    <m/>
    <n v="3"/>
  </r>
  <r>
    <s v="30.5.2013"/>
    <x v="0"/>
    <s v="UNHCR"/>
    <x v="0"/>
    <x v="11"/>
    <s v="Du Kahtawng Qtr. 4"/>
    <n v="6"/>
    <m/>
    <m/>
    <m/>
    <m/>
    <n v="1"/>
    <m/>
    <m/>
    <m/>
    <n v="6"/>
  </r>
  <r>
    <s v="30.5.2013"/>
    <x v="0"/>
    <s v="UNHCR"/>
    <x v="0"/>
    <x v="11"/>
    <s v="Du Kahtawng Qtr. 5"/>
    <n v="3"/>
    <m/>
    <m/>
    <m/>
    <m/>
    <n v="1"/>
    <m/>
    <m/>
    <m/>
    <n v="3"/>
  </r>
  <r>
    <s v="30.5.2013"/>
    <x v="0"/>
    <s v="UNHCR"/>
    <x v="0"/>
    <x v="11"/>
    <s v="Jan Mai Kawng Baptist Church"/>
    <n v="10"/>
    <m/>
    <m/>
    <m/>
    <m/>
    <n v="5"/>
    <m/>
    <m/>
    <m/>
    <n v="50"/>
  </r>
  <r>
    <s v="30.5.2013"/>
    <x v="0"/>
    <s v="UNHCR"/>
    <x v="0"/>
    <x v="11"/>
    <s v="Le Kone Ziun Baptist Church "/>
    <n v="6"/>
    <m/>
    <m/>
    <m/>
    <m/>
    <n v="2"/>
    <m/>
    <m/>
    <m/>
    <n v="12"/>
  </r>
  <r>
    <s v="30.5.2013"/>
    <x v="0"/>
    <s v="UNHCR"/>
    <x v="0"/>
    <x v="11"/>
    <s v="Man Hkring Baptist Church"/>
    <n v="10"/>
    <m/>
    <m/>
    <m/>
    <m/>
    <n v="1"/>
    <m/>
    <m/>
    <m/>
    <n v="10"/>
  </r>
  <r>
    <s v="30.5.2013"/>
    <x v="0"/>
    <s v="UNHCR"/>
    <x v="0"/>
    <x v="11"/>
    <s v="Shatapru Sut Ngai Tawng"/>
    <n v="10"/>
    <m/>
    <m/>
    <m/>
    <m/>
    <n v="2"/>
    <m/>
    <m/>
    <m/>
    <n v="20"/>
  </r>
  <r>
    <s v="30.5.2013"/>
    <x v="0"/>
    <s v="UNHCR"/>
    <x v="0"/>
    <x v="11"/>
    <s v="Shatapru Sut Ngai Tawng"/>
    <n v="10"/>
    <m/>
    <m/>
    <m/>
    <m/>
    <n v="1"/>
    <m/>
    <m/>
    <m/>
    <n v="10"/>
  </r>
  <r>
    <s v="30.5.2013"/>
    <x v="0"/>
    <s v="UNHCR"/>
    <x v="0"/>
    <x v="11"/>
    <s v="Shatapru Sut Ngai Tawng"/>
    <n v="10"/>
    <m/>
    <m/>
    <m/>
    <m/>
    <n v="1"/>
    <m/>
    <m/>
    <m/>
    <n v="10"/>
  </r>
  <r>
    <s v="30.5.2013"/>
    <x v="0"/>
    <s v="UNHCR"/>
    <x v="0"/>
    <x v="11"/>
    <s v="Tat Kone Emanuel Church"/>
    <n v="5"/>
    <m/>
    <m/>
    <m/>
    <m/>
    <n v="1"/>
    <m/>
    <m/>
    <m/>
    <n v="5"/>
  </r>
  <r>
    <s v="30.5.2013"/>
    <x v="0"/>
    <s v="KBSS"/>
    <x v="0"/>
    <x v="12"/>
    <s v="Mung Ding Pa "/>
    <n v="10"/>
    <m/>
    <m/>
    <m/>
    <m/>
    <n v="3"/>
    <m/>
    <m/>
    <m/>
    <n v="30"/>
  </r>
  <r>
    <s v="30.5.2013"/>
    <x v="0"/>
    <s v="KBC"/>
    <x v="0"/>
    <x v="12"/>
    <s v="Nam Hkam - Nay Win Ni (Palawng)"/>
    <n v="10"/>
    <m/>
    <m/>
    <m/>
    <m/>
    <n v="2"/>
    <m/>
    <m/>
    <m/>
    <n v="20"/>
  </r>
  <r>
    <s v="30.5.2013"/>
    <x v="0"/>
    <s v="KBC"/>
    <x v="0"/>
    <x v="13"/>
    <s v="Nam Tu"/>
    <n v="10"/>
    <m/>
    <m/>
    <m/>
    <m/>
    <n v="1"/>
    <m/>
    <m/>
    <m/>
    <n v="10"/>
  </r>
  <r>
    <s v="30.5.2013"/>
    <x v="0"/>
    <s v="Shalom"/>
    <x v="0"/>
    <x v="14"/>
    <s v="Mashi Kahtawng Baptist  Church"/>
    <n v="10"/>
    <m/>
    <m/>
    <m/>
    <m/>
    <m/>
    <m/>
    <m/>
    <m/>
    <n v="0"/>
  </r>
  <r>
    <s v="30.5.2013"/>
    <x v="0"/>
    <s v="Shalom"/>
    <x v="0"/>
    <x v="14"/>
    <s v="Maw Wan, Kachin Baptist Church"/>
    <n v="10"/>
    <m/>
    <m/>
    <m/>
    <m/>
    <m/>
    <m/>
    <m/>
    <m/>
    <n v="0"/>
  </r>
  <r>
    <s v="30.5.2013"/>
    <x v="0"/>
    <s v="Shalom"/>
    <x v="0"/>
    <x v="14"/>
    <s v="Nga Pyaw Taw Baptist Nursery School "/>
    <n v="10"/>
    <m/>
    <m/>
    <m/>
    <m/>
    <n v="2"/>
    <m/>
    <m/>
    <m/>
    <n v="20"/>
  </r>
  <r>
    <s v="30.5.2013"/>
    <x v="0"/>
    <s v="Shalom"/>
    <x v="0"/>
    <x v="14"/>
    <s v="Yumar Baptist Church"/>
    <n v="10"/>
    <m/>
    <m/>
    <m/>
    <m/>
    <n v="1"/>
    <m/>
    <m/>
    <m/>
    <n v="10"/>
  </r>
  <r>
    <s v="30.5.2013"/>
    <x v="0"/>
    <s v="KBSS"/>
    <x v="0"/>
    <x v="15"/>
    <s v="Shwe Gu Catholic Church"/>
    <n v="10"/>
    <m/>
    <m/>
    <m/>
    <m/>
    <n v="2"/>
    <m/>
    <m/>
    <m/>
    <n v="20"/>
  </r>
  <r>
    <s v="30.5.2013"/>
    <x v="0"/>
    <s v="KBSS"/>
    <x v="0"/>
    <x v="15"/>
    <s v="Shwe Gu Catholic Church"/>
    <n v="10"/>
    <m/>
    <m/>
    <m/>
    <m/>
    <n v="1"/>
    <m/>
    <m/>
    <m/>
    <n v="10"/>
  </r>
  <r>
    <s v="30.5.2013"/>
    <x v="0"/>
    <s v="KMSS"/>
    <x v="0"/>
    <x v="16"/>
    <s v="Border Post 8"/>
    <n v="1"/>
    <m/>
    <m/>
    <m/>
    <m/>
    <n v="1"/>
    <m/>
    <m/>
    <m/>
    <n v="1"/>
  </r>
  <r>
    <s v="30.5.2013"/>
    <x v="0"/>
    <s v="KMSS"/>
    <x v="0"/>
    <x v="16"/>
    <s v="Border Post 8"/>
    <n v="7"/>
    <m/>
    <m/>
    <m/>
    <m/>
    <n v="1"/>
    <m/>
    <m/>
    <m/>
    <n v="7"/>
  </r>
  <r>
    <s v="30.5.2013"/>
    <x v="0"/>
    <s v="KMSS"/>
    <x v="0"/>
    <x v="16"/>
    <s v="Border Post 8"/>
    <n v="10"/>
    <m/>
    <m/>
    <m/>
    <m/>
    <n v="23"/>
    <m/>
    <m/>
    <m/>
    <n v="230"/>
  </r>
  <r>
    <s v="30.5.2013"/>
    <x v="0"/>
    <s v="Shalom"/>
    <x v="0"/>
    <x v="16"/>
    <s v="Hkat Cho "/>
    <n v="1"/>
    <m/>
    <m/>
    <m/>
    <m/>
    <n v="1"/>
    <m/>
    <m/>
    <m/>
    <n v="1"/>
  </r>
  <r>
    <s v="30.5.2013"/>
    <x v="0"/>
    <s v="Shalom"/>
    <x v="0"/>
    <x v="16"/>
    <s v="Hkat Cho "/>
    <n v="6"/>
    <m/>
    <m/>
    <m/>
    <m/>
    <n v="1"/>
    <m/>
    <m/>
    <m/>
    <n v="6"/>
  </r>
  <r>
    <s v="30.5.2013"/>
    <x v="0"/>
    <s v="Shalom"/>
    <x v="0"/>
    <x v="16"/>
    <s v="Hkat Cho "/>
    <n v="10"/>
    <m/>
    <m/>
    <m/>
    <m/>
    <n v="3"/>
    <m/>
    <m/>
    <m/>
    <n v="30"/>
  </r>
  <r>
    <s v="30.5.2013"/>
    <x v="0"/>
    <s v="Shalom"/>
    <x v="0"/>
    <x v="16"/>
    <s v="Hkat Cho "/>
    <n v="14"/>
    <m/>
    <m/>
    <m/>
    <m/>
    <n v="1"/>
    <m/>
    <m/>
    <m/>
    <n v="14"/>
  </r>
  <r>
    <s v="30.5.2013"/>
    <x v="0"/>
    <s v="Shalom"/>
    <x v="0"/>
    <x v="16"/>
    <s v="Lhaovao Baptist Church (LBC)"/>
    <n v="4"/>
    <m/>
    <m/>
    <m/>
    <m/>
    <n v="1"/>
    <m/>
    <m/>
    <m/>
    <n v="4"/>
  </r>
  <r>
    <s v="30.5.2013"/>
    <x v="0"/>
    <s v="Shalom"/>
    <x v="0"/>
    <x v="16"/>
    <s v="Lhaovao Baptist Church (LBC)"/>
    <n v="8"/>
    <m/>
    <m/>
    <m/>
    <m/>
    <n v="1"/>
    <m/>
    <m/>
    <m/>
    <n v="8"/>
  </r>
  <r>
    <s v="30.5.2013"/>
    <x v="0"/>
    <s v="Shalom"/>
    <x v="0"/>
    <x v="16"/>
    <s v="Lhaovao Baptist Church (LBC)"/>
    <n v="10"/>
    <m/>
    <m/>
    <m/>
    <m/>
    <n v="4"/>
    <m/>
    <m/>
    <m/>
    <n v="40"/>
  </r>
  <r>
    <s v="30.5.2013"/>
    <x v="0"/>
    <s v="Shalom"/>
    <x v="0"/>
    <x v="16"/>
    <s v="Lhaovao Baptist Church (LBC)"/>
    <n v="18"/>
    <m/>
    <m/>
    <m/>
    <m/>
    <n v="1"/>
    <m/>
    <m/>
    <m/>
    <n v="18"/>
  </r>
  <r>
    <s v="30.5.2013"/>
    <x v="0"/>
    <s v="Shalom"/>
    <x v="0"/>
    <x v="16"/>
    <s v="Mading Baptist Church"/>
    <n v="4"/>
    <m/>
    <m/>
    <m/>
    <m/>
    <n v="1"/>
    <m/>
    <m/>
    <m/>
    <n v="4"/>
  </r>
  <r>
    <s v="30.5.2013"/>
    <x v="0"/>
    <s v="Shalom"/>
    <x v="0"/>
    <x v="16"/>
    <s v="Mading Baptist Church"/>
    <n v="5"/>
    <m/>
    <m/>
    <m/>
    <m/>
    <n v="1"/>
    <m/>
    <m/>
    <m/>
    <n v="5"/>
  </r>
  <r>
    <s v="30.5.2013"/>
    <x v="0"/>
    <s v="Shalom"/>
    <x v="0"/>
    <x v="16"/>
    <s v="Mading Baptist Church"/>
    <n v="6"/>
    <m/>
    <m/>
    <m/>
    <m/>
    <n v="1"/>
    <m/>
    <m/>
    <m/>
    <n v="6"/>
  </r>
  <r>
    <s v="30.5.2013"/>
    <x v="0"/>
    <s v="Shalom"/>
    <x v="0"/>
    <x v="16"/>
    <s v="Mading Baptist Church"/>
    <n v="10"/>
    <m/>
    <m/>
    <m/>
    <m/>
    <n v="1"/>
    <m/>
    <m/>
    <m/>
    <n v="10"/>
  </r>
  <r>
    <s v="30.5.2013"/>
    <x v="0"/>
    <s v="Shalom"/>
    <x v="0"/>
    <x v="16"/>
    <s v="Maina AG Church"/>
    <n v="1"/>
    <m/>
    <m/>
    <m/>
    <m/>
    <n v="1"/>
    <m/>
    <m/>
    <m/>
    <n v="1"/>
  </r>
  <r>
    <s v="30.5.2013"/>
    <x v="0"/>
    <s v="Shalom"/>
    <x v="0"/>
    <x v="16"/>
    <s v="Maina AG Church"/>
    <n v="1"/>
    <m/>
    <m/>
    <m/>
    <m/>
    <n v="1"/>
    <m/>
    <m/>
    <m/>
    <n v="1"/>
  </r>
  <r>
    <s v="30.5.2013"/>
    <x v="0"/>
    <s v="Shalom"/>
    <x v="0"/>
    <x v="16"/>
    <s v="Maina AG Church"/>
    <n v="8"/>
    <m/>
    <m/>
    <m/>
    <m/>
    <n v="2"/>
    <m/>
    <m/>
    <m/>
    <n v="16"/>
  </r>
  <r>
    <s v="30.5.2013"/>
    <x v="0"/>
    <s v="Shalom"/>
    <x v="0"/>
    <x v="16"/>
    <s v="Maina AG Church"/>
    <n v="10"/>
    <m/>
    <m/>
    <m/>
    <m/>
    <n v="2"/>
    <m/>
    <m/>
    <m/>
    <n v="20"/>
  </r>
  <r>
    <s v="30.5.2013"/>
    <x v="0"/>
    <s v="Shalom"/>
    <x v="0"/>
    <x v="16"/>
    <s v="Maina AG Church"/>
    <n v="20"/>
    <m/>
    <m/>
    <m/>
    <m/>
    <n v="1"/>
    <m/>
    <m/>
    <m/>
    <n v="20"/>
  </r>
  <r>
    <s v="30.5.2013"/>
    <x v="0"/>
    <s v="KMSS"/>
    <x v="0"/>
    <x v="16"/>
    <s v="Maina Catholic Church (St. Joseph)"/>
    <n v="8"/>
    <m/>
    <m/>
    <m/>
    <m/>
    <n v="1"/>
    <m/>
    <m/>
    <m/>
    <n v="8"/>
  </r>
  <r>
    <s v="30.5.2013"/>
    <x v="0"/>
    <s v="KMSS"/>
    <x v="0"/>
    <x v="16"/>
    <s v="Maina Catholic Church (St. Joseph)"/>
    <n v="10"/>
    <m/>
    <m/>
    <m/>
    <m/>
    <n v="10"/>
    <m/>
    <m/>
    <m/>
    <n v="100"/>
  </r>
  <r>
    <s v="30.5.2013"/>
    <x v="0"/>
    <s v="UNHCR"/>
    <x v="0"/>
    <x v="16"/>
    <s v="Maina Catholic Church (St. Joseph)"/>
    <n v="10"/>
    <m/>
    <m/>
    <m/>
    <m/>
    <n v="12"/>
    <m/>
    <m/>
    <m/>
    <n v="120"/>
  </r>
  <r>
    <s v="30.5.2013"/>
    <x v="0"/>
    <s v="KMSS"/>
    <x v="0"/>
    <x v="16"/>
    <s v="Maina Catholic Church (St. Joseph)"/>
    <n v="10"/>
    <m/>
    <m/>
    <m/>
    <m/>
    <n v="5"/>
    <m/>
    <m/>
    <m/>
    <n v="50"/>
  </r>
  <r>
    <s v="30.5.2013"/>
    <x v="0"/>
    <s v="KBC"/>
    <x v="0"/>
    <x v="16"/>
    <s v="Maina KBC (Bawng Ring)"/>
    <n v="1"/>
    <m/>
    <m/>
    <m/>
    <m/>
    <n v="1"/>
    <m/>
    <m/>
    <m/>
    <n v="1"/>
  </r>
  <r>
    <s v="30.5.2013"/>
    <x v="0"/>
    <s v="KBC"/>
    <x v="0"/>
    <x v="16"/>
    <s v="Maina Lawang Baptist Church"/>
    <n v="1"/>
    <m/>
    <m/>
    <m/>
    <m/>
    <n v="1"/>
    <m/>
    <m/>
    <m/>
    <n v="1"/>
  </r>
  <r>
    <s v="30.5.2013"/>
    <x v="0"/>
    <s v="KBC"/>
    <x v="0"/>
    <x v="16"/>
    <s v="Maina Lawang Baptist Church"/>
    <n v="5"/>
    <m/>
    <m/>
    <m/>
    <m/>
    <n v="2"/>
    <m/>
    <m/>
    <m/>
    <n v="10"/>
  </r>
  <r>
    <s v="30.5.2013"/>
    <x v="0"/>
    <s v="UNHCR"/>
    <x v="0"/>
    <x v="16"/>
    <s v="Maina Lawang Baptist Church"/>
    <n v="5"/>
    <m/>
    <m/>
    <m/>
    <m/>
    <n v="1"/>
    <m/>
    <m/>
    <m/>
    <n v="5"/>
  </r>
  <r>
    <s v="30.5.2013"/>
    <x v="0"/>
    <s v="KBC"/>
    <x v="0"/>
    <x v="16"/>
    <s v="Maina Lawang Baptist Church"/>
    <n v="10"/>
    <m/>
    <m/>
    <m/>
    <m/>
    <n v="2"/>
    <m/>
    <m/>
    <m/>
    <n v="20"/>
  </r>
  <r>
    <s v="30.5.2013"/>
    <x v="0"/>
    <s v="KBC"/>
    <x v="0"/>
    <x v="16"/>
    <s v="Pajau / Jan Mai"/>
    <n v="10"/>
    <m/>
    <m/>
    <m/>
    <m/>
    <n v="4"/>
    <m/>
    <m/>
    <m/>
    <n v="40"/>
  </r>
  <r>
    <s v="30.5.2013"/>
    <x v="0"/>
    <s v="KMSS"/>
    <x v="0"/>
    <x v="16"/>
    <s v="Post 6 Camp"/>
    <n v="1"/>
    <m/>
    <m/>
    <m/>
    <m/>
    <n v="2"/>
    <m/>
    <m/>
    <m/>
    <n v="2"/>
  </r>
  <r>
    <s v="30.5.2013"/>
    <x v="0"/>
    <s v="Shalom"/>
    <x v="0"/>
    <x v="16"/>
    <s v="Qtr. 2 Lhaovo Baptist Church"/>
    <n v="1"/>
    <m/>
    <m/>
    <m/>
    <m/>
    <n v="1"/>
    <m/>
    <m/>
    <m/>
    <n v="1"/>
  </r>
  <r>
    <s v="30.5.2013"/>
    <x v="0"/>
    <s v="Shalom"/>
    <x v="0"/>
    <x v="16"/>
    <s v="Qtr. 2 Lhaovo Baptist Church"/>
    <n v="1"/>
    <m/>
    <m/>
    <m/>
    <m/>
    <n v="1"/>
    <m/>
    <m/>
    <m/>
    <n v="1"/>
  </r>
  <r>
    <s v="30.5.2013"/>
    <x v="0"/>
    <s v="Shalom"/>
    <x v="0"/>
    <x v="16"/>
    <s v="Qtr. 2 Lhaovo Baptist Church"/>
    <n v="9"/>
    <m/>
    <m/>
    <m/>
    <m/>
    <n v="1"/>
    <m/>
    <m/>
    <m/>
    <n v="9"/>
  </r>
  <r>
    <s v="30.5.2013"/>
    <x v="0"/>
    <s v="Shalom"/>
    <x v="0"/>
    <x v="16"/>
    <s v="Qtr. 2 Lhaovo Baptist Church"/>
    <n v="10"/>
    <m/>
    <m/>
    <m/>
    <m/>
    <n v="2"/>
    <m/>
    <m/>
    <m/>
    <n v="20"/>
  </r>
  <r>
    <s v="30.5.2013"/>
    <x v="0"/>
    <s v="Shalom"/>
    <x v="0"/>
    <x v="16"/>
    <s v="Qtr. 2 Lhaovo Baptist Church"/>
    <n v="16"/>
    <m/>
    <m/>
    <m/>
    <m/>
    <n v="1"/>
    <m/>
    <m/>
    <m/>
    <n v="16"/>
  </r>
  <r>
    <s v="30.5.2013"/>
    <x v="0"/>
    <s v="KBC"/>
    <x v="0"/>
    <x v="16"/>
    <s v="Qtr. 2 Myoma Baptist Church"/>
    <n v="1"/>
    <m/>
    <m/>
    <m/>
    <m/>
    <n v="1"/>
    <m/>
    <m/>
    <m/>
    <n v="1"/>
  </r>
  <r>
    <s v="30.5.2013"/>
    <x v="0"/>
    <s v="KBC"/>
    <x v="0"/>
    <x v="16"/>
    <s v="Qtr. 2 Myoma Baptist Church"/>
    <n v="5"/>
    <m/>
    <m/>
    <m/>
    <m/>
    <n v="2"/>
    <m/>
    <m/>
    <m/>
    <n v="10"/>
  </r>
  <r>
    <s v="30.5.2013"/>
    <x v="0"/>
    <s v="UNHCR"/>
    <x v="0"/>
    <x v="16"/>
    <s v="Qtr. 2 Myoma Baptist Church"/>
    <n v="10"/>
    <m/>
    <m/>
    <m/>
    <m/>
    <n v="1"/>
    <m/>
    <m/>
    <m/>
    <n v="10"/>
  </r>
  <r>
    <s v="30.5.2013"/>
    <x v="0"/>
    <s v="Shalom"/>
    <x v="0"/>
    <x v="16"/>
    <s v="Qtr. 3 Mu-yin  Baptist Church"/>
    <n v="1"/>
    <m/>
    <m/>
    <m/>
    <m/>
    <n v="1"/>
    <m/>
    <m/>
    <m/>
    <n v="1"/>
  </r>
  <r>
    <s v="30.5.2013"/>
    <x v="0"/>
    <s v="Shalom"/>
    <x v="0"/>
    <x v="16"/>
    <s v="Qtr. 3 Mu-yin  Baptist Church"/>
    <n v="1"/>
    <m/>
    <m/>
    <m/>
    <m/>
    <n v="1"/>
    <m/>
    <m/>
    <m/>
    <n v="1"/>
  </r>
  <r>
    <s v="30.5.2013"/>
    <x v="0"/>
    <s v="Shalom"/>
    <x v="0"/>
    <x v="16"/>
    <s v="Qtr. 3 Mu-yin  Baptist Church"/>
    <n v="6"/>
    <m/>
    <m/>
    <m/>
    <m/>
    <n v="2"/>
    <m/>
    <m/>
    <m/>
    <n v="12"/>
  </r>
  <r>
    <s v="30.5.2013"/>
    <x v="0"/>
    <s v="Shalom"/>
    <x v="0"/>
    <x v="16"/>
    <s v="Qtr. 4 Monestry (Thargaya Thayett Taw)"/>
    <n v="1"/>
    <m/>
    <m/>
    <m/>
    <m/>
    <n v="1"/>
    <m/>
    <m/>
    <m/>
    <n v="1"/>
  </r>
  <r>
    <s v="30.5.2013"/>
    <x v="0"/>
    <s v="Shalom"/>
    <x v="0"/>
    <x v="16"/>
    <s v="Qtr. 4 Monestry (Thargaya Thayett Taw)"/>
    <n v="3"/>
    <m/>
    <m/>
    <m/>
    <m/>
    <n v="3"/>
    <m/>
    <m/>
    <m/>
    <n v="9"/>
  </r>
  <r>
    <s v="30.5.2013"/>
    <x v="0"/>
    <s v="Shalom"/>
    <x v="0"/>
    <x v="16"/>
    <s v="Qtr. 4 Monestry (Thargaya Thayett Taw)"/>
    <n v="7"/>
    <m/>
    <m/>
    <m/>
    <m/>
    <n v="1"/>
    <m/>
    <m/>
    <m/>
    <n v="7"/>
  </r>
  <r>
    <s v="30.5.2013"/>
    <x v="0"/>
    <s v="Shalom"/>
    <x v="0"/>
    <x v="16"/>
    <s v="Qtr. 4 Monestry (Thargaya Thayett Taw)"/>
    <n v="9"/>
    <m/>
    <m/>
    <m/>
    <m/>
    <n v="1"/>
    <m/>
    <m/>
    <m/>
    <n v="9"/>
  </r>
  <r>
    <s v="30.5.2013"/>
    <x v="0"/>
    <s v="Shalom"/>
    <x v="0"/>
    <x v="16"/>
    <s v="Qtr. 4 Monestry (Thargaya Thayett Taw)"/>
    <n v="10"/>
    <m/>
    <m/>
    <m/>
    <m/>
    <n v="3"/>
    <m/>
    <m/>
    <m/>
    <n v="30"/>
  </r>
  <r>
    <s v="30.5.2013"/>
    <x v="0"/>
    <s v="Shalom"/>
    <x v="0"/>
    <x v="16"/>
    <s v="Qtr. 4 Monestry (Thargaya Thayett Taw)"/>
    <n v="10"/>
    <m/>
    <m/>
    <m/>
    <m/>
    <n v="2"/>
    <m/>
    <m/>
    <m/>
    <n v="20"/>
  </r>
  <r>
    <s v="30.5.2013"/>
    <x v="0"/>
    <s v="Shalom"/>
    <x v="0"/>
    <x v="16"/>
    <s v="Qtr. 4 Monestry (Thargaya Thayett Taw)"/>
    <n v="10"/>
    <m/>
    <m/>
    <m/>
    <m/>
    <n v="2"/>
    <m/>
    <m/>
    <m/>
    <n v="20"/>
  </r>
  <r>
    <s v="30.5.2013"/>
    <x v="0"/>
    <s v="KBC"/>
    <x v="0"/>
    <x v="16"/>
    <s v="Shing Jai"/>
    <n v="10"/>
    <m/>
    <m/>
    <m/>
    <m/>
    <n v="17"/>
    <m/>
    <m/>
    <m/>
    <n v="170"/>
  </r>
  <r>
    <s v="30.5.2013"/>
    <x v="0"/>
    <s v="Shalom"/>
    <x v="0"/>
    <x v="16"/>
    <s v="Thargaya Lisu Baptist Church"/>
    <n v="1"/>
    <m/>
    <m/>
    <m/>
    <m/>
    <n v="1"/>
    <m/>
    <m/>
    <m/>
    <n v="1"/>
  </r>
  <r>
    <s v="30.5.2013"/>
    <x v="0"/>
    <s v="Shalom"/>
    <x v="0"/>
    <x v="16"/>
    <s v="Thargaya Lisu Baptist Church"/>
    <n v="1"/>
    <m/>
    <m/>
    <m/>
    <m/>
    <n v="1"/>
    <m/>
    <m/>
    <m/>
    <n v="1"/>
  </r>
  <r>
    <s v="30.5.2013"/>
    <x v="0"/>
    <s v="Shalom"/>
    <x v="0"/>
    <x v="16"/>
    <s v="Thargaya Lisu Baptist Church"/>
    <n v="6"/>
    <m/>
    <m/>
    <m/>
    <m/>
    <n v="1"/>
    <m/>
    <m/>
    <m/>
    <n v="6"/>
  </r>
  <r>
    <s v="30.5.2013"/>
    <x v="0"/>
    <s v="Shalom"/>
    <x v="0"/>
    <x v="16"/>
    <s v="Thargaya Lisu Baptist Church"/>
    <n v="10"/>
    <m/>
    <m/>
    <m/>
    <m/>
    <n v="1"/>
    <m/>
    <m/>
    <m/>
    <n v="10"/>
  </r>
  <r>
    <s v="30.5.2013"/>
    <x v="0"/>
    <s v="Shalom"/>
    <x v="0"/>
    <x v="16"/>
    <s v="Thargaya Lisu Baptist Church"/>
    <n v="11"/>
    <m/>
    <m/>
    <m/>
    <m/>
    <n v="1"/>
    <m/>
    <m/>
    <m/>
    <n v="11"/>
  </r>
  <r>
    <s v="30.5.2013"/>
    <x v="0"/>
    <s v="Shalom"/>
    <x v="0"/>
    <x v="16"/>
    <s v="Waingmaw AG Church"/>
    <n v="1"/>
    <m/>
    <m/>
    <m/>
    <m/>
    <n v="1"/>
    <m/>
    <m/>
    <m/>
    <n v="1"/>
  </r>
  <r>
    <s v="30.5.2013"/>
    <x v="0"/>
    <s v="Shalom"/>
    <x v="0"/>
    <x v="16"/>
    <s v="Waingmaw AG Church"/>
    <n v="1"/>
    <m/>
    <m/>
    <m/>
    <m/>
    <n v="1"/>
    <m/>
    <m/>
    <m/>
    <n v="1"/>
  </r>
  <r>
    <s v="30.5.2013"/>
    <x v="0"/>
    <s v="Shalom"/>
    <x v="0"/>
    <x v="16"/>
    <s v="Waingmaw AG Church"/>
    <n v="6"/>
    <m/>
    <m/>
    <m/>
    <m/>
    <n v="1"/>
    <m/>
    <m/>
    <m/>
    <n v="6"/>
  </r>
  <r>
    <s v="30.5.2013"/>
    <x v="0"/>
    <s v="Shalom"/>
    <x v="0"/>
    <x v="16"/>
    <s v="Waingmaw AG Church"/>
    <n v="10"/>
    <m/>
    <m/>
    <m/>
    <m/>
    <n v="1"/>
    <m/>
    <m/>
    <m/>
    <n v="10"/>
  </r>
  <r>
    <s v="30.5.2013"/>
    <x v="0"/>
    <s v="Shalom"/>
    <x v="0"/>
    <x v="16"/>
    <s v="Waingmaw AG Church"/>
    <n v="12"/>
    <m/>
    <m/>
    <m/>
    <m/>
    <n v="1"/>
    <m/>
    <m/>
    <m/>
    <n v="12"/>
  </r>
  <r>
    <s v="30.5.2013"/>
    <x v="0"/>
    <s v="KBC"/>
    <x v="0"/>
    <x v="16"/>
    <s v="Waingmaw Baptist Zonal Office"/>
    <n v="1"/>
    <m/>
    <m/>
    <m/>
    <m/>
    <n v="1"/>
    <m/>
    <m/>
    <m/>
    <n v="1"/>
  </r>
  <r>
    <s v="30.5.2013"/>
    <x v="0"/>
    <s v="UNHCR"/>
    <x v="0"/>
    <x v="16"/>
    <s v="Waingmaw Baptist Zonal Office"/>
    <n v="5"/>
    <m/>
    <m/>
    <m/>
    <m/>
    <n v="1"/>
    <m/>
    <m/>
    <m/>
    <n v="5"/>
  </r>
  <r>
    <s v="30.5.2013"/>
    <x v="0"/>
    <s v="KBC"/>
    <x v="0"/>
    <x v="16"/>
    <s v="Waingmaw Baptist Zonal Office"/>
    <n v="10"/>
    <m/>
    <m/>
    <m/>
    <m/>
    <n v="1"/>
    <m/>
    <m/>
    <m/>
    <n v="10"/>
  </r>
  <r>
    <s v="30.5.2013"/>
    <x v="0"/>
    <s v="KBC"/>
    <x v="0"/>
    <x v="16"/>
    <s v="Zai Awng / Mung Ga Zup"/>
    <n v="1"/>
    <m/>
    <m/>
    <m/>
    <m/>
    <n v="3"/>
    <m/>
    <m/>
    <m/>
    <n v="3"/>
  </r>
  <r>
    <s v="30.5.2013"/>
    <x v="0"/>
    <s v="KBC"/>
    <x v="0"/>
    <x v="16"/>
    <s v="Zai Awng / Mung Ga Zup"/>
    <n v="10"/>
    <m/>
    <m/>
    <m/>
    <m/>
    <n v="6"/>
    <m/>
    <m/>
    <m/>
    <n v="60"/>
  </r>
  <r>
    <d v="2013-06-30T00:00:00.000"/>
    <x v="1"/>
    <s v="KMSS"/>
    <x v="0"/>
    <x v="16"/>
    <s v="MainaCatholicChurch(St.Joseph)"/>
    <n v="1"/>
    <m/>
    <m/>
    <m/>
    <m/>
    <m/>
    <n v="12"/>
    <n v="12"/>
    <m/>
    <n v="12"/>
  </r>
  <r>
    <d v="2013-06-30T00:00:00.000"/>
    <x v="1"/>
    <s v="KBC"/>
    <x v="0"/>
    <x v="12"/>
    <s v="NamHkam(KBCJawWang)"/>
    <n v="1"/>
    <m/>
    <m/>
    <m/>
    <m/>
    <m/>
    <n v="30"/>
    <n v="30"/>
    <m/>
    <n v="30"/>
  </r>
  <r>
    <d v="2013-06-30T00:00:00.000"/>
    <x v="1"/>
    <s v="KBC"/>
    <x v="0"/>
    <x v="3"/>
    <s v="ManWingBaptistChurch"/>
    <n v="1"/>
    <m/>
    <m/>
    <m/>
    <m/>
    <m/>
    <n v="39"/>
    <n v="39"/>
    <m/>
    <n v="39"/>
  </r>
  <r>
    <d v="2013-06-30T00:00:00.000"/>
    <x v="1"/>
    <s v="KMSS"/>
    <x v="0"/>
    <x v="10"/>
    <s v="NanKwaySt.JohnCatholicChurch"/>
    <n v="1"/>
    <m/>
    <m/>
    <m/>
    <m/>
    <m/>
    <n v="46"/>
    <n v="46"/>
    <m/>
    <n v="46"/>
  </r>
  <r>
    <d v="2013-06-30T00:00:00.000"/>
    <x v="1"/>
    <s v="Shalom"/>
    <x v="0"/>
    <x v="16"/>
    <s v="HkatCho"/>
    <n v="1"/>
    <m/>
    <m/>
    <m/>
    <m/>
    <m/>
    <n v="50"/>
    <n v="50"/>
    <m/>
    <n v="50"/>
  </r>
  <r>
    <d v="2013-06-30T00:00:00.000"/>
    <x v="1"/>
    <s v="KBC"/>
    <x v="0"/>
    <x v="12"/>
    <s v="NamHkam-NayWinNi(Palawng)"/>
    <n v="1"/>
    <m/>
    <m/>
    <m/>
    <m/>
    <m/>
    <n v="78"/>
    <n v="78"/>
    <m/>
    <n v="78"/>
  </r>
  <r>
    <d v="2013-06-30T00:00:00.000"/>
    <x v="1"/>
    <s v="Shalom"/>
    <x v="0"/>
    <x v="17"/>
    <s v="LhaovaoBaptistChurch(LBC)"/>
    <n v="1"/>
    <m/>
    <m/>
    <m/>
    <m/>
    <m/>
    <n v="82"/>
    <n v="82"/>
    <m/>
    <n v="82"/>
  </r>
  <r>
    <d v="2013-06-30T00:00:00.000"/>
    <x v="1"/>
    <s v="Shalom"/>
    <x v="0"/>
    <x v="16"/>
    <s v="HkauShau(BP12)"/>
    <n v="1"/>
    <m/>
    <m/>
    <m/>
    <m/>
    <m/>
    <n v="100"/>
    <n v="100"/>
    <m/>
    <n v="100"/>
  </r>
  <r>
    <d v="2013-06-30T00:00:00.000"/>
    <x v="1"/>
    <s v="KMSS"/>
    <x v="0"/>
    <x v="9"/>
    <s v="HpunLumYang"/>
    <n v="1"/>
    <m/>
    <m/>
    <m/>
    <m/>
    <m/>
    <n v="338"/>
    <n v="338"/>
    <m/>
    <n v="338"/>
  </r>
  <r>
    <d v="2013-06-30T00:00:00.000"/>
    <x v="1"/>
    <s v="KMSS"/>
    <x v="0"/>
    <x v="16"/>
    <s v="MagaYang"/>
    <n v="1"/>
    <m/>
    <m/>
    <m/>
    <m/>
    <m/>
    <n v="604"/>
    <n v="604"/>
    <m/>
    <n v="604"/>
  </r>
  <r>
    <d v="2013-07-01T00:00:00.000"/>
    <x v="2"/>
    <s v="Government"/>
    <x v="1"/>
    <x v="18"/>
    <s v="KhaYayMyaing(DPA)"/>
    <n v="1"/>
    <m/>
    <m/>
    <m/>
    <m/>
    <m/>
    <n v="2"/>
    <n v="2"/>
    <m/>
    <n v="2"/>
  </r>
  <r>
    <d v="2013-07-01T00:00:00.000"/>
    <x v="2"/>
    <s v="Government"/>
    <x v="1"/>
    <x v="18"/>
    <s v="WaiTharLi"/>
    <n v="1"/>
    <m/>
    <m/>
    <m/>
    <m/>
    <m/>
    <n v="9"/>
    <n v="9"/>
    <m/>
    <n v="9"/>
  </r>
  <r>
    <d v="2013-07-01T00:00:00.000"/>
    <x v="2"/>
    <s v="Government"/>
    <x v="1"/>
    <x v="18"/>
    <s v="BawDiGone"/>
    <n v="1"/>
    <m/>
    <m/>
    <m/>
    <m/>
    <m/>
    <n v="10"/>
    <n v="10"/>
    <m/>
    <n v="10"/>
  </r>
  <r>
    <d v="2013-07-01T00:00:00.000"/>
    <x v="2"/>
    <s v="Government"/>
    <x v="1"/>
    <x v="18"/>
    <s v="KanTharYar"/>
    <n v="1"/>
    <m/>
    <m/>
    <m/>
    <m/>
    <m/>
    <n v="10"/>
    <n v="10"/>
    <m/>
    <n v="10"/>
  </r>
  <r>
    <d v="2013-07-01T00:00:00.000"/>
    <x v="2"/>
    <s v="Government"/>
    <x v="1"/>
    <x v="18"/>
    <s v="MawYaWaddy"/>
    <n v="1"/>
    <m/>
    <m/>
    <m/>
    <m/>
    <m/>
    <n v="11"/>
    <n v="11"/>
    <m/>
    <n v="11"/>
  </r>
  <r>
    <d v="2013-07-01T00:00:00.000"/>
    <x v="0"/>
    <s v="UNHCR"/>
    <x v="1"/>
    <x v="18"/>
    <s v="KanPyinTharSi"/>
    <n v="1"/>
    <m/>
    <m/>
    <m/>
    <m/>
    <m/>
    <n v="11"/>
    <m/>
    <m/>
    <n v="0"/>
  </r>
  <r>
    <d v="2013-07-01T00:00:00.000"/>
    <x v="2"/>
    <s v="Government"/>
    <x v="1"/>
    <x v="18"/>
    <s v="ThaYayKoneBaung"/>
    <n v="1"/>
    <m/>
    <m/>
    <m/>
    <m/>
    <m/>
    <n v="12"/>
    <n v="12"/>
    <m/>
    <n v="12"/>
  </r>
  <r>
    <d v="2013-07-01T00:00:00.000"/>
    <x v="2"/>
    <s v="Government"/>
    <x v="1"/>
    <x v="18"/>
    <s v="KanPyinTharSi"/>
    <n v="1"/>
    <m/>
    <m/>
    <m/>
    <m/>
    <m/>
    <n v="15"/>
    <n v="15"/>
    <m/>
    <n v="15"/>
  </r>
  <r>
    <d v="2013-07-01T00:00:00.000"/>
    <x v="0"/>
    <s v="UNHCR"/>
    <x v="1"/>
    <x v="18"/>
    <s v="KanTharYar"/>
    <n v="1"/>
    <m/>
    <m/>
    <m/>
    <m/>
    <m/>
    <n v="21"/>
    <m/>
    <n v="21"/>
    <n v="21"/>
  </r>
  <r>
    <d v="2013-07-01T00:00:00.000"/>
    <x v="2"/>
    <s v="Government"/>
    <x v="1"/>
    <x v="18"/>
    <s v="KhaYayMyaing(shortlegged)"/>
    <n v="1"/>
    <m/>
    <m/>
    <m/>
    <m/>
    <m/>
    <n v="22"/>
    <n v="22"/>
    <m/>
    <n v="22"/>
  </r>
  <r>
    <d v="2013-07-01T00:00:00.000"/>
    <x v="0"/>
    <s v="UNHCR"/>
    <x v="1"/>
    <x v="18"/>
    <s v="KhaYayMyaing(shortlegged)"/>
    <n v="1"/>
    <m/>
    <m/>
    <m/>
    <m/>
    <m/>
    <n v="25"/>
    <n v="25"/>
    <m/>
    <n v="25"/>
  </r>
  <r>
    <d v="2013-07-01T00:00:00.000"/>
    <x v="2"/>
    <s v="Government"/>
    <x v="1"/>
    <x v="18"/>
    <s v="KinChaung"/>
    <n v="1"/>
    <m/>
    <m/>
    <m/>
    <m/>
    <m/>
    <n v="25"/>
    <m/>
    <n v="25"/>
    <n v="25"/>
  </r>
  <r>
    <d v="2013-07-01T00:00:00.000"/>
    <x v="0"/>
    <s v="UNHCR"/>
    <x v="1"/>
    <x v="18"/>
    <s v="BawDiGone"/>
    <n v="1"/>
    <m/>
    <m/>
    <m/>
    <m/>
    <m/>
    <n v="27"/>
    <m/>
    <n v="27"/>
    <n v="27"/>
  </r>
  <r>
    <d v="2013-07-01T00:00:00.000"/>
    <x v="2"/>
    <s v="Government"/>
    <x v="1"/>
    <x v="18"/>
    <s v="KyaingGyi"/>
    <n v="1"/>
    <m/>
    <m/>
    <m/>
    <m/>
    <m/>
    <n v="36"/>
    <n v="36"/>
    <m/>
    <n v="36"/>
  </r>
  <r>
    <d v="2013-07-01T00:00:00.000"/>
    <x v="0"/>
    <s v="UNHCR"/>
    <x v="1"/>
    <x v="18"/>
    <s v="KyaingGyi"/>
    <n v="1"/>
    <m/>
    <m/>
    <m/>
    <m/>
    <m/>
    <n v="36"/>
    <n v="36"/>
    <m/>
    <n v="36"/>
  </r>
  <r>
    <d v="2013-07-01T00:00:00.000"/>
    <x v="2"/>
    <s v="Government"/>
    <x v="1"/>
    <x v="18"/>
    <s v="ShweYinAye"/>
    <n v="1"/>
    <m/>
    <m/>
    <m/>
    <m/>
    <m/>
    <n v="77"/>
    <n v="77"/>
    <m/>
    <n v="77"/>
  </r>
  <r>
    <d v="2013-07-01T00:00:00.000"/>
    <x v="0"/>
    <s v="UNHCR"/>
    <x v="1"/>
    <x v="18"/>
    <s v="MawYaWaddy"/>
    <n v="1"/>
    <m/>
    <m/>
    <m/>
    <m/>
    <m/>
    <n v="102"/>
    <n v="98"/>
    <n v="0"/>
    <n v="98"/>
  </r>
  <r>
    <d v="2013-07-01T00:00:00.000"/>
    <x v="3"/>
    <s v="CARE"/>
    <x v="1"/>
    <x v="18"/>
    <s v="ThaYayKoneBaung"/>
    <n v="1"/>
    <m/>
    <m/>
    <m/>
    <m/>
    <m/>
    <n v="103"/>
    <m/>
    <n v="60"/>
    <n v="60"/>
  </r>
  <r>
    <d v="2013-06-01T00:00:00.000"/>
    <x v="2"/>
    <s v="Government"/>
    <x v="1"/>
    <x v="19"/>
    <m/>
    <n v="6"/>
    <m/>
    <m/>
    <n v="22"/>
    <n v="10"/>
    <n v="12"/>
    <m/>
    <m/>
    <m/>
    <n v="132"/>
  </r>
  <r>
    <d v="2013-06-01T00:00:00.000"/>
    <x v="4"/>
    <s v="Service City"/>
    <x v="1"/>
    <x v="19"/>
    <m/>
    <n v="6"/>
    <m/>
    <m/>
    <n v="38"/>
    <n v="38"/>
    <n v="0"/>
    <m/>
    <m/>
    <m/>
    <n v="228"/>
  </r>
  <r>
    <d v="2013-06-01T00:00:00.000"/>
    <x v="2"/>
    <s v="Government"/>
    <x v="1"/>
    <x v="20"/>
    <m/>
    <n v="8"/>
    <m/>
    <m/>
    <n v="111"/>
    <n v="8"/>
    <n v="111"/>
    <m/>
    <m/>
    <m/>
    <n v="952"/>
  </r>
  <r>
    <d v="2013-06-01T00:00:00.000"/>
    <x v="0"/>
    <s v="UNHCR"/>
    <x v="1"/>
    <x v="21"/>
    <m/>
    <n v="6"/>
    <m/>
    <m/>
    <n v="95"/>
    <n v="6"/>
    <n v="89"/>
    <m/>
    <m/>
    <m/>
    <n v="570"/>
  </r>
  <r>
    <d v="2013-06-01T00:00:00.000"/>
    <x v="2"/>
    <s v="Government"/>
    <x v="1"/>
    <x v="22"/>
    <m/>
    <n v="8"/>
    <m/>
    <m/>
    <n v="84"/>
    <n v="0"/>
    <n v="84"/>
    <m/>
    <m/>
    <m/>
    <n v="672"/>
  </r>
  <r>
    <d v="2013-06-01T00:00:00.000"/>
    <x v="2"/>
    <s v="Government"/>
    <x v="1"/>
    <x v="23"/>
    <m/>
    <n v="8"/>
    <m/>
    <m/>
    <n v="72"/>
    <n v="0"/>
    <n v="72"/>
    <m/>
    <m/>
    <m/>
    <n v="576"/>
  </r>
  <r>
    <d v="2013-06-01T00:00:00.000"/>
    <x v="2"/>
    <s v="Government"/>
    <x v="1"/>
    <x v="24"/>
    <m/>
    <n v="4"/>
    <m/>
    <m/>
    <n v="3"/>
    <n v="3"/>
    <n v="13"/>
    <m/>
    <m/>
    <m/>
    <n v="64"/>
  </r>
  <r>
    <d v="2013-06-01T00:00:00.000"/>
    <x v="0"/>
    <s v="UNHCR"/>
    <x v="1"/>
    <x v="24"/>
    <m/>
    <n v="4"/>
    <m/>
    <m/>
    <n v="267"/>
    <n v="3"/>
    <n v="264"/>
    <m/>
    <m/>
    <m/>
    <n v="1068"/>
  </r>
  <r>
    <d v="2013-06-01T00:00:00.000"/>
    <x v="0"/>
    <s v="DRC"/>
    <x v="1"/>
    <x v="24"/>
    <m/>
    <n v="4"/>
    <m/>
    <m/>
    <n v="202"/>
    <n v="0"/>
    <n v="202"/>
    <m/>
    <m/>
    <m/>
    <n v="808"/>
  </r>
  <r>
    <d v="2013-06-01T00:00:00.000"/>
    <x v="2"/>
    <s v="Government"/>
    <x v="1"/>
    <x v="25"/>
    <m/>
    <n v="1"/>
    <m/>
    <m/>
    <n v="12"/>
    <n v="0"/>
    <n v="12"/>
    <m/>
    <m/>
    <m/>
    <n v="12"/>
  </r>
  <r>
    <d v="2013-06-01T00:00:00.000"/>
    <x v="2"/>
    <s v="Government"/>
    <x v="1"/>
    <x v="26"/>
    <m/>
    <n v="8"/>
    <m/>
    <m/>
    <n v="64"/>
    <n v="0"/>
    <n v="64"/>
    <m/>
    <m/>
    <m/>
    <n v="512"/>
  </r>
  <r>
    <d v="2013-06-01T00:00:00.000"/>
    <x v="2"/>
    <s v="Government"/>
    <x v="1"/>
    <x v="27"/>
    <s v="Basare"/>
    <n v="1"/>
    <m/>
    <m/>
    <n v="52"/>
    <n v="0"/>
    <n v="52"/>
    <m/>
    <m/>
    <m/>
    <n v="52"/>
  </r>
  <r>
    <d v="2013-06-01T00:00:00.000"/>
    <x v="5"/>
    <s v="MAUK"/>
    <x v="1"/>
    <x v="27"/>
    <s v="Baw Du Pha"/>
    <n v="8"/>
    <m/>
    <m/>
    <n v="32"/>
    <n v="0"/>
    <n v="32"/>
    <m/>
    <m/>
    <m/>
    <n v="256"/>
  </r>
  <r>
    <d v="2013-06-01T00:00:00.000"/>
    <x v="2"/>
    <s v="Government"/>
    <x v="1"/>
    <x v="27"/>
    <s v="Baw Du Pha"/>
    <n v="10"/>
    <m/>
    <m/>
    <n v="60"/>
    <n v="45"/>
    <n v="0"/>
    <m/>
    <m/>
    <m/>
    <n v="450"/>
  </r>
  <r>
    <d v="2013-06-01T00:00:00.000"/>
    <x v="6"/>
    <s v="WFP"/>
    <x v="1"/>
    <x v="27"/>
    <s v="Baw Du Pha"/>
    <n v="10"/>
    <m/>
    <m/>
    <n v="40"/>
    <n v="40"/>
    <n v="0"/>
    <m/>
    <m/>
    <m/>
    <n v="400"/>
  </r>
  <r>
    <d v="2013-06-01T00:00:00.000"/>
    <x v="2"/>
    <s v="Government"/>
    <x v="1"/>
    <x v="27"/>
    <s v="Baw Du Pha 3"/>
    <n v="8"/>
    <m/>
    <m/>
    <n v="135"/>
    <n v="140"/>
    <n v="5"/>
    <m/>
    <m/>
    <m/>
    <n v="1160"/>
  </r>
  <r>
    <d v="2013-06-01T00:00:00.000"/>
    <x v="2"/>
    <s v="Government"/>
    <x v="1"/>
    <x v="27"/>
    <s v="Danyawaddy Baw Lone Kwin"/>
    <n v="10"/>
    <m/>
    <m/>
    <n v="7"/>
    <n v="7"/>
    <n v="0"/>
    <m/>
    <m/>
    <m/>
    <n v="70"/>
  </r>
  <r>
    <d v="2013-06-01T00:00:00.000"/>
    <x v="2"/>
    <s v="Government"/>
    <x v="1"/>
    <x v="27"/>
    <s v="Dar Pai"/>
    <n v="8"/>
    <m/>
    <m/>
    <n v="100"/>
    <n v="0"/>
    <n v="100"/>
    <m/>
    <m/>
    <m/>
    <n v="800"/>
  </r>
  <r>
    <d v="2013-06-01T00:00:00.000"/>
    <x v="6"/>
    <s v="WFP"/>
    <x v="1"/>
    <x v="27"/>
    <s v="Dohn Taik Kwin"/>
    <n v="10"/>
    <m/>
    <m/>
    <n v="0"/>
    <n v="20"/>
    <n v="0"/>
    <m/>
    <m/>
    <m/>
    <n v="200"/>
  </r>
  <r>
    <d v="2013-06-01T00:00:00.000"/>
    <x v="2"/>
    <s v="Government"/>
    <x v="1"/>
    <x v="27"/>
    <s v="Hmanzi Junction"/>
    <n v="8"/>
    <m/>
    <m/>
    <n v="25"/>
    <n v="0"/>
    <n v="25"/>
    <m/>
    <m/>
    <m/>
    <n v="200"/>
  </r>
  <r>
    <d v="2013-06-01T00:00:00.000"/>
    <x v="2"/>
    <s v="Government"/>
    <x v="1"/>
    <x v="27"/>
    <s v="Khaung Doke Khar "/>
    <n v="8"/>
    <m/>
    <m/>
    <n v="50"/>
    <n v="46"/>
    <n v="50"/>
    <m/>
    <m/>
    <m/>
    <n v="768"/>
  </r>
  <r>
    <d v="2013-06-01T00:00:00.000"/>
    <x v="0"/>
    <s v="UNHCR"/>
    <x v="1"/>
    <x v="27"/>
    <s v="Ma Gyi Myaing"/>
    <n v="8"/>
    <m/>
    <m/>
    <n v="15"/>
    <n v="15"/>
    <n v="0"/>
    <m/>
    <m/>
    <m/>
    <n v="120"/>
  </r>
  <r>
    <d v="2013-06-01T00:00:00.000"/>
    <x v="2"/>
    <s v="Government"/>
    <x v="1"/>
    <x v="27"/>
    <s v="Maw Ti Ngar (TKP west)"/>
    <n v="8"/>
    <m/>
    <m/>
    <n v="39"/>
    <n v="0"/>
    <n v="39"/>
    <m/>
    <m/>
    <m/>
    <n v="312"/>
  </r>
  <r>
    <d v="2013-06-01T00:00:00.000"/>
    <x v="2"/>
    <s v="Government"/>
    <x v="1"/>
    <x v="27"/>
    <s v="Mingan"/>
    <n v="10"/>
    <m/>
    <m/>
    <n v="8"/>
    <n v="8"/>
    <n v="0"/>
    <m/>
    <m/>
    <m/>
    <n v="80"/>
  </r>
  <r>
    <d v="2013-06-01T00:00:00.000"/>
    <x v="0"/>
    <s v="UNHCR"/>
    <x v="1"/>
    <x v="27"/>
    <s v="Ohn Taw Gyi 1"/>
    <n v="8"/>
    <m/>
    <m/>
    <n v="150"/>
    <n v="150"/>
    <n v="0"/>
    <m/>
    <m/>
    <m/>
    <n v="1200"/>
  </r>
  <r>
    <d v="2013-06-01T00:00:00.000"/>
    <x v="0"/>
    <s v="UNHCR"/>
    <x v="1"/>
    <x v="27"/>
    <s v="Ohn Taw Gyi 2"/>
    <n v="8"/>
    <m/>
    <m/>
    <n v="80"/>
    <n v="80"/>
    <n v="0"/>
    <m/>
    <m/>
    <m/>
    <n v="640"/>
  </r>
  <r>
    <d v="2013-06-01T00:00:00.000"/>
    <x v="7"/>
    <s v="MRCS"/>
    <x v="1"/>
    <x v="27"/>
    <s v="Ohn Taw Gyi 3"/>
    <n v="8"/>
    <m/>
    <m/>
    <n v="50"/>
    <n v="0"/>
    <n v="50"/>
    <m/>
    <m/>
    <m/>
    <n v="400"/>
  </r>
  <r>
    <d v="2013-06-01T00:00:00.000"/>
    <x v="8"/>
    <s v="MRF/ACT"/>
    <x v="1"/>
    <x v="27"/>
    <s v="Ohn Taw Gyi 3"/>
    <n v="8"/>
    <m/>
    <m/>
    <n v="35"/>
    <n v="35"/>
    <n v="0"/>
    <m/>
    <m/>
    <m/>
    <n v="280"/>
  </r>
  <r>
    <d v="2013-06-01T00:00:00.000"/>
    <x v="2"/>
    <s v="Government"/>
    <x v="1"/>
    <x v="27"/>
    <s v="Ohn Taw Gyi 4"/>
    <n v="8"/>
    <m/>
    <m/>
    <n v="120"/>
    <n v="120"/>
    <n v="0"/>
    <m/>
    <m/>
    <m/>
    <n v="960"/>
  </r>
  <r>
    <d v="2013-06-01T00:00:00.000"/>
    <x v="2"/>
    <s v="Government"/>
    <x v="1"/>
    <x v="27"/>
    <s v="Ohn Taw Gyi 5"/>
    <n v="8"/>
    <m/>
    <m/>
    <n v="61"/>
    <n v="0"/>
    <n v="61"/>
    <m/>
    <m/>
    <m/>
    <n v="488"/>
  </r>
  <r>
    <d v="2013-06-01T00:00:00.000"/>
    <x v="2"/>
    <s v="Government"/>
    <x v="1"/>
    <x v="27"/>
    <s v="Phwe Yar Kone"/>
    <n v="10"/>
    <m/>
    <m/>
    <n v="40"/>
    <n v="40"/>
    <n v="0"/>
    <m/>
    <m/>
    <m/>
    <n v="400"/>
  </r>
  <r>
    <d v="2013-06-01T00:00:00.000"/>
    <x v="1"/>
    <s v="DRC"/>
    <x v="1"/>
    <x v="27"/>
    <s v="Say Tha Mar Gyi"/>
    <n v="8"/>
    <m/>
    <m/>
    <n v="27"/>
    <n v="27"/>
    <n v="0"/>
    <m/>
    <m/>
    <m/>
    <n v="216"/>
  </r>
  <r>
    <d v="2013-06-01T00:00:00.000"/>
    <x v="9"/>
    <s v="IRW"/>
    <x v="1"/>
    <x v="27"/>
    <s v="Say Tha Mar Gyi"/>
    <n v="8"/>
    <m/>
    <m/>
    <n v="40"/>
    <n v="40"/>
    <n v="0"/>
    <m/>
    <m/>
    <m/>
    <n v="320"/>
  </r>
  <r>
    <d v="2013-06-01T00:00:00.000"/>
    <x v="7"/>
    <s v="MRCS"/>
    <x v="1"/>
    <x v="27"/>
    <s v="Say Tha Mar Gyi"/>
    <n v="8"/>
    <m/>
    <m/>
    <n v="60"/>
    <n v="60"/>
    <n v="0"/>
    <m/>
    <m/>
    <m/>
    <n v="480"/>
  </r>
  <r>
    <d v="2013-06-01T00:00:00.000"/>
    <x v="0"/>
    <s v="UNHCR"/>
    <x v="1"/>
    <x v="27"/>
    <s v="Say Tha Mar Gyi"/>
    <n v="8"/>
    <m/>
    <m/>
    <n v="33"/>
    <n v="33"/>
    <n v="0"/>
    <m/>
    <m/>
    <m/>
    <n v="264"/>
  </r>
  <r>
    <d v="2013-06-01T00:00:00.000"/>
    <x v="2"/>
    <s v="Government"/>
    <x v="1"/>
    <x v="27"/>
    <s v="Say Tha Mar Gyi"/>
    <n v="10"/>
    <m/>
    <m/>
    <n v="23"/>
    <n v="23"/>
    <n v="0"/>
    <m/>
    <m/>
    <m/>
    <n v="230"/>
  </r>
  <r>
    <d v="2013-06-01T00:00:00.000"/>
    <x v="8"/>
    <s v="MRF/ACT"/>
    <x v="1"/>
    <x v="27"/>
    <s v="Say Tha Mar Gyi"/>
    <n v="10"/>
    <m/>
    <m/>
    <n v="77"/>
    <n v="77"/>
    <n v="0"/>
    <m/>
    <m/>
    <m/>
    <n v="770"/>
  </r>
  <r>
    <d v="2013-06-01T00:00:00.000"/>
    <x v="2"/>
    <s v="Government"/>
    <x v="1"/>
    <x v="27"/>
    <s v="Set Yone Su"/>
    <n v="10"/>
    <m/>
    <m/>
    <n v="22"/>
    <n v="22"/>
    <n v="0"/>
    <m/>
    <m/>
    <m/>
    <n v="220"/>
  </r>
  <r>
    <d v="2013-06-01T00:00:00.000"/>
    <x v="0"/>
    <s v="UNHCR"/>
    <x v="1"/>
    <x v="27"/>
    <s v="Set Yone Su 3"/>
    <n v="8"/>
    <m/>
    <m/>
    <n v="22"/>
    <n v="22"/>
    <n v="0"/>
    <m/>
    <m/>
    <m/>
    <n v="176"/>
  </r>
  <r>
    <d v="2013-06-01T00:00:00.000"/>
    <x v="2"/>
    <s v="Government"/>
    <x v="1"/>
    <x v="27"/>
    <s v="Thet Kae Pyin "/>
    <n v="10"/>
    <m/>
    <m/>
    <n v="50"/>
    <n v="50"/>
    <n v="0"/>
    <m/>
    <m/>
    <m/>
    <n v="500"/>
  </r>
  <r>
    <d v="2013-06-01T00:00:00.000"/>
    <x v="8"/>
    <s v="MRF/ACT"/>
    <x v="1"/>
    <x v="27"/>
    <m/>
    <n v="8"/>
    <m/>
    <m/>
    <n v="0"/>
    <n v="0"/>
    <n v="86"/>
    <m/>
    <m/>
    <m/>
    <n v="688"/>
  </r>
  <r>
    <d v="2013-07-01T00:00:00.000"/>
    <x v="0"/>
    <s v="UNHCR"/>
    <x v="1"/>
    <x v="21"/>
    <s v="Taung Paw "/>
    <n v="8"/>
    <m/>
    <m/>
    <n v="89"/>
    <n v="70"/>
    <n v="13"/>
    <m/>
    <m/>
    <m/>
    <n v="664"/>
  </r>
  <r>
    <d v="2013-07-01T00:00:00.000"/>
    <x v="0"/>
    <s v="UNHCR"/>
    <x v="1"/>
    <x v="21"/>
    <s v="Kan Thar Htwat Wa"/>
    <n v="8"/>
    <m/>
    <m/>
    <n v="6"/>
    <n v="6"/>
    <n v="0"/>
    <m/>
    <m/>
    <m/>
    <n v="48"/>
  </r>
  <r>
    <d v="2013-07-01T00:00:00.000"/>
    <x v="0"/>
    <s v="UNHCR"/>
    <x v="1"/>
    <x v="24"/>
    <s v="Kyein Ni Pyin"/>
    <n v="8"/>
    <m/>
    <m/>
    <n v="98"/>
    <n v="15"/>
    <n v="50"/>
    <m/>
    <m/>
    <m/>
    <n v="520"/>
  </r>
  <r>
    <d v="2013-07-01T00:00:00.000"/>
    <x v="2"/>
    <s v="Government"/>
    <x v="1"/>
    <x v="24"/>
    <s v="Kyein Ni Pyin"/>
    <n v="8"/>
    <m/>
    <m/>
    <n v="13"/>
    <n v="0"/>
    <n v="13"/>
    <m/>
    <m/>
    <m/>
    <n v="104"/>
  </r>
  <r>
    <d v="2013-07-01T00:00:00.000"/>
    <x v="0"/>
    <s v="UNHCR"/>
    <x v="1"/>
    <x v="24"/>
    <s v="Nget Chaung"/>
    <n v="8"/>
    <m/>
    <m/>
    <n v="169"/>
    <n v="30"/>
    <n v="71"/>
    <m/>
    <m/>
    <m/>
    <n v="808"/>
  </r>
  <r>
    <d v="2013-07-01T00:00:00.000"/>
    <x v="1"/>
    <s v="DRC"/>
    <x v="1"/>
    <x v="24"/>
    <s v="Ah Nauk Ywe"/>
    <n v="8"/>
    <m/>
    <m/>
    <n v="96"/>
    <n v="0"/>
    <n v="56"/>
    <m/>
    <m/>
    <m/>
    <n v="448"/>
  </r>
  <r>
    <d v="2013-07-01T00:00:00.000"/>
    <x v="1"/>
    <s v="DRC"/>
    <x v="1"/>
    <x v="24"/>
    <s v="Sin Tet Maw"/>
    <n v="8"/>
    <m/>
    <m/>
    <n v="106"/>
    <n v="0"/>
    <n v="78"/>
    <m/>
    <m/>
    <m/>
    <n v="624"/>
  </r>
  <r>
    <d v="2013-07-01T00:00:00.000"/>
    <x v="2"/>
    <s v="Government"/>
    <x v="1"/>
    <x v="24"/>
    <s v="Ba Wan Chaung Wa Su"/>
    <n v="10"/>
    <m/>
    <m/>
    <n v="3"/>
    <n v="3"/>
    <m/>
    <m/>
    <m/>
    <m/>
    <n v="30"/>
  </r>
  <r>
    <d v="2013-07-01T00:00:00.000"/>
    <x v="2"/>
    <s v="Government"/>
    <x v="1"/>
    <x v="27"/>
    <s v="Basare"/>
    <n v="8"/>
    <m/>
    <m/>
    <n v="52"/>
    <n v="49"/>
    <n v="3"/>
    <m/>
    <m/>
    <m/>
    <n v="416"/>
  </r>
  <r>
    <d v="2013-07-01T00:00:00.000"/>
    <x v="2"/>
    <s v="Government"/>
    <x v="1"/>
    <x v="27"/>
    <s v="Thet Kae Pyin "/>
    <n v="10"/>
    <m/>
    <m/>
    <n v="50"/>
    <n v="50"/>
    <n v="0"/>
    <m/>
    <m/>
    <m/>
    <n v="500"/>
  </r>
  <r>
    <d v="2013-07-01T00:00:00.000"/>
    <x v="2"/>
    <s v="Government"/>
    <x v="1"/>
    <x v="27"/>
    <s v="Dar Pai"/>
    <n v="8"/>
    <m/>
    <m/>
    <n v="100"/>
    <n v="96"/>
    <n v="4"/>
    <m/>
    <m/>
    <m/>
    <n v="800"/>
  </r>
  <r>
    <d v="2013-07-01T00:00:00.000"/>
    <x v="2"/>
    <s v="Government"/>
    <x v="1"/>
    <x v="27"/>
    <s v="Baw Du Pha"/>
    <n v="10"/>
    <m/>
    <m/>
    <n v="45"/>
    <n v="45"/>
    <m/>
    <m/>
    <m/>
    <m/>
    <n v="450"/>
  </r>
  <r>
    <d v="2013-07-01T00:00:00.000"/>
    <x v="2"/>
    <s v="Government"/>
    <x v="1"/>
    <x v="27"/>
    <s v="Baw Du Pha"/>
    <n v="8"/>
    <m/>
    <m/>
    <n v="140"/>
    <n v="140"/>
    <m/>
    <m/>
    <m/>
    <m/>
    <n v="1120"/>
  </r>
  <r>
    <d v="2013-07-01T00:00:00.000"/>
    <x v="6"/>
    <s v="WFP"/>
    <x v="1"/>
    <x v="27"/>
    <s v="Baw Du Pha"/>
    <n v="10"/>
    <m/>
    <m/>
    <n v="40"/>
    <n v="40"/>
    <m/>
    <m/>
    <m/>
    <m/>
    <n v="400"/>
  </r>
  <r>
    <d v="2013-07-01T00:00:00.000"/>
    <x v="5"/>
    <s v="MAUK"/>
    <x v="1"/>
    <x v="27"/>
    <s v="Baw Du Pha"/>
    <n v="8"/>
    <m/>
    <m/>
    <n v="32"/>
    <m/>
    <n v="32"/>
    <m/>
    <m/>
    <m/>
    <n v="256"/>
  </r>
  <r>
    <d v="2013-07-01T00:00:00.000"/>
    <x v="2"/>
    <s v="Government"/>
    <x v="1"/>
    <x v="27"/>
    <s v="Hmanzi Junction"/>
    <n v="8"/>
    <m/>
    <m/>
    <n v="25"/>
    <n v="25"/>
    <m/>
    <m/>
    <m/>
    <m/>
    <n v="200"/>
  </r>
  <r>
    <d v="2013-07-01T00:00:00.000"/>
    <x v="2"/>
    <s v="Government"/>
    <x v="1"/>
    <x v="27"/>
    <s v="Khaung Doke Khar "/>
    <n v="8"/>
    <m/>
    <m/>
    <n v="50"/>
    <n v="50"/>
    <m/>
    <m/>
    <m/>
    <m/>
    <n v="400"/>
  </r>
  <r>
    <d v="2013-07-01T00:00:00.000"/>
    <x v="0"/>
    <s v="UNHCR"/>
    <x v="1"/>
    <x v="27"/>
    <s v="Ohn Taw Gyi 1"/>
    <n v="8"/>
    <m/>
    <m/>
    <n v="150"/>
    <n v="150"/>
    <m/>
    <m/>
    <m/>
    <m/>
    <n v="1200"/>
  </r>
  <r>
    <d v="2013-07-01T00:00:00.000"/>
    <x v="0"/>
    <s v="UNHCR"/>
    <x v="1"/>
    <x v="27"/>
    <s v="Ohn Taw Gyi 2"/>
    <n v="8"/>
    <m/>
    <m/>
    <n v="80"/>
    <n v="80"/>
    <m/>
    <m/>
    <m/>
    <m/>
    <n v="640"/>
  </r>
  <r>
    <d v="2013-07-01T00:00:00.000"/>
    <x v="8"/>
    <s v="MRF/ACT"/>
    <x v="1"/>
    <x v="27"/>
    <s v="Ohn Taw Gyi 3"/>
    <n v="8"/>
    <m/>
    <m/>
    <n v="120"/>
    <n v="45"/>
    <n v="75"/>
    <m/>
    <m/>
    <m/>
    <n v="960"/>
  </r>
  <r>
    <d v="2013-07-01T00:00:00.000"/>
    <x v="2"/>
    <s v="Government"/>
    <x v="1"/>
    <x v="27"/>
    <s v="Ohn Taw Gyi 4"/>
    <n v="8"/>
    <m/>
    <m/>
    <n v="120"/>
    <n v="120"/>
    <m/>
    <m/>
    <m/>
    <m/>
    <n v="960"/>
  </r>
  <r>
    <d v="2013-07-01T00:00:00.000"/>
    <x v="2"/>
    <s v="Government"/>
    <x v="1"/>
    <x v="27"/>
    <s v="Ohn Taw Gyi 5"/>
    <n v="8"/>
    <s v="`"/>
    <m/>
    <n v="101"/>
    <n v="87"/>
    <n v="14"/>
    <m/>
    <m/>
    <m/>
    <n v="808"/>
  </r>
  <r>
    <d v="2013-07-01T00:00:00.000"/>
    <x v="2"/>
    <s v="Government"/>
    <x v="1"/>
    <x v="27"/>
    <s v="Maw Ti Ngar (TKP west)"/>
    <n v="8"/>
    <m/>
    <m/>
    <n v="39"/>
    <n v="39"/>
    <m/>
    <m/>
    <m/>
    <m/>
    <n v="312"/>
  </r>
  <r>
    <d v="2013-07-01T00:00:00.000"/>
    <x v="2"/>
    <s v="Government"/>
    <x v="1"/>
    <x v="27"/>
    <s v="Phwe Yar Kone"/>
    <n v="10"/>
    <m/>
    <m/>
    <n v="40"/>
    <n v="40"/>
    <m/>
    <m/>
    <m/>
    <m/>
    <n v="400"/>
  </r>
  <r>
    <d v="2013-07-01T00:00:00.000"/>
    <x v="2"/>
    <s v="Government"/>
    <x v="1"/>
    <x v="27"/>
    <s v="Say Tha Mar Gyi"/>
    <n v="10"/>
    <m/>
    <m/>
    <n v="23"/>
    <n v="23"/>
    <m/>
    <m/>
    <m/>
    <m/>
    <n v="230"/>
  </r>
  <r>
    <d v="2013-07-01T00:00:00.000"/>
    <x v="0"/>
    <s v="UNHCR"/>
    <x v="1"/>
    <x v="27"/>
    <s v="Say Tha Mar Gyi"/>
    <n v="8"/>
    <m/>
    <m/>
    <n v="33"/>
    <n v="33"/>
    <m/>
    <m/>
    <m/>
    <m/>
    <n v="264"/>
  </r>
  <r>
    <d v="2013-07-01T00:00:00.000"/>
    <x v="8"/>
    <s v="MRF/ACT"/>
    <x v="1"/>
    <x v="27"/>
    <s v="Say Tha Mar Gyi"/>
    <n v="10"/>
    <m/>
    <m/>
    <n v="77"/>
    <n v="77"/>
    <m/>
    <m/>
    <m/>
    <m/>
    <n v="770"/>
  </r>
  <r>
    <d v="2013-07-01T00:00:00.000"/>
    <x v="1"/>
    <s v="DRC"/>
    <x v="1"/>
    <x v="27"/>
    <s v="Say Tha Mar Gyi"/>
    <n v="8"/>
    <m/>
    <m/>
    <n v="27"/>
    <n v="27"/>
    <m/>
    <m/>
    <m/>
    <m/>
    <n v="216"/>
  </r>
  <r>
    <d v="2013-07-01T00:00:00.000"/>
    <x v="7"/>
    <s v="MRCS"/>
    <x v="1"/>
    <x v="27"/>
    <s v="Say Tha Mar Gyi"/>
    <n v="8"/>
    <m/>
    <m/>
    <n v="60"/>
    <n v="60"/>
    <m/>
    <m/>
    <m/>
    <m/>
    <n v="480"/>
  </r>
  <r>
    <d v="2013-07-01T00:00:00.000"/>
    <x v="9"/>
    <s v="IRW"/>
    <x v="1"/>
    <x v="27"/>
    <s v="Say Tha Mar Gyi"/>
    <n v="8"/>
    <m/>
    <m/>
    <n v="40"/>
    <n v="40"/>
    <m/>
    <m/>
    <m/>
    <m/>
    <n v="320"/>
  </r>
  <r>
    <d v="2013-07-01T00:00:00.000"/>
    <x v="6"/>
    <s v="WFP"/>
    <x v="1"/>
    <x v="27"/>
    <s v="Dohn Taik Kwin"/>
    <n v="10"/>
    <m/>
    <m/>
    <n v="20"/>
    <n v="20"/>
    <m/>
    <m/>
    <m/>
    <m/>
    <n v="200"/>
  </r>
  <r>
    <d v="2013-07-01T00:00:00.000"/>
    <x v="2"/>
    <s v="Government"/>
    <x v="1"/>
    <x v="27"/>
    <s v="Danyawaddy Baw Lone Kwin"/>
    <n v="10"/>
    <m/>
    <m/>
    <n v="7"/>
    <n v="7"/>
    <m/>
    <m/>
    <m/>
    <m/>
    <n v="70"/>
  </r>
  <r>
    <d v="2013-07-01T00:00:00.000"/>
    <x v="2"/>
    <s v="Government"/>
    <x v="1"/>
    <x v="27"/>
    <s v="Mingan"/>
    <n v="10"/>
    <m/>
    <m/>
    <n v="8"/>
    <n v="8"/>
    <m/>
    <m/>
    <m/>
    <m/>
    <n v="80"/>
  </r>
  <r>
    <d v="2013-07-01T00:00:00.000"/>
    <x v="2"/>
    <s v="Government"/>
    <x v="1"/>
    <x v="27"/>
    <s v="Set Yone Su"/>
    <n v="10"/>
    <m/>
    <m/>
    <n v="22"/>
    <n v="22"/>
    <m/>
    <m/>
    <m/>
    <m/>
    <n v="220"/>
  </r>
  <r>
    <d v="2013-07-01T00:00:00.000"/>
    <x v="0"/>
    <s v="UNHCR"/>
    <x v="1"/>
    <x v="27"/>
    <s v="Set Yone Su 3"/>
    <n v="8"/>
    <m/>
    <m/>
    <n v="22"/>
    <n v="22"/>
    <m/>
    <m/>
    <m/>
    <m/>
    <n v="176"/>
  </r>
  <r>
    <d v="2013-07-01T00:00:00.000"/>
    <x v="0"/>
    <s v="UNHCR"/>
    <x v="1"/>
    <x v="27"/>
    <s v="Ma Gyi Myaing"/>
    <n v="8"/>
    <m/>
    <m/>
    <n v="15"/>
    <n v="15"/>
    <m/>
    <m/>
    <m/>
    <m/>
    <n v="120"/>
  </r>
  <r>
    <d v="2013-07-01T00:00:00.000"/>
    <x v="2"/>
    <s v="Government"/>
    <x v="1"/>
    <x v="25"/>
    <s v="Ramree Town"/>
    <n v="8"/>
    <m/>
    <m/>
    <n v="12"/>
    <n v="12"/>
    <m/>
    <m/>
    <m/>
    <m/>
    <n v="96"/>
  </r>
  <r>
    <d v="2013-07-01T00:00:00.000"/>
    <x v="2"/>
    <s v="Government"/>
    <x v="1"/>
    <x v="26"/>
    <s v="Nyaung Pin Gyi"/>
    <n v="8"/>
    <m/>
    <m/>
    <n v="7"/>
    <n v="7"/>
    <m/>
    <m/>
    <m/>
    <m/>
    <n v="56"/>
  </r>
  <r>
    <d v="2013-07-01T00:00:00.000"/>
    <x v="2"/>
    <s v="Government"/>
    <x v="1"/>
    <x v="26"/>
    <s v="Ah Nauk Pyin"/>
    <n v="8"/>
    <m/>
    <m/>
    <n v="4"/>
    <n v="4"/>
    <m/>
    <m/>
    <m/>
    <m/>
    <n v="32"/>
  </r>
  <r>
    <d v="2013-07-01T00:00:00.000"/>
    <x v="2"/>
    <s v="Government"/>
    <x v="1"/>
    <x v="26"/>
    <s v="Koe Tan Kauk/Chein Khar Li"/>
    <n v="8"/>
    <m/>
    <m/>
    <n v="53"/>
    <n v="50"/>
    <n v="3"/>
    <m/>
    <m/>
    <m/>
    <n v="424"/>
  </r>
  <r>
    <d v="2013-07-01T00:00:00.000"/>
    <x v="2"/>
    <s v="Government"/>
    <x v="1"/>
    <x v="20"/>
    <s v="Nidin"/>
    <n v="8"/>
    <m/>
    <m/>
    <n v="9"/>
    <n v="9"/>
    <m/>
    <m/>
    <m/>
    <m/>
    <n v="72"/>
  </r>
  <r>
    <d v="2013-07-01T00:00:00.000"/>
    <x v="2"/>
    <s v="Government"/>
    <x v="1"/>
    <x v="20"/>
    <s v="Ah Pauk Wa "/>
    <n v="8"/>
    <m/>
    <m/>
    <n v="7"/>
    <n v="7"/>
    <m/>
    <m/>
    <m/>
    <m/>
    <n v="56"/>
  </r>
  <r>
    <d v="2013-07-01T00:00:00.000"/>
    <x v="2"/>
    <s v="Government"/>
    <x v="1"/>
    <x v="20"/>
    <s v="Shwe Hlaing"/>
    <n v="8"/>
    <m/>
    <m/>
    <n v="18"/>
    <n v="15"/>
    <n v="3"/>
    <m/>
    <m/>
    <m/>
    <n v="144"/>
  </r>
  <r>
    <d v="2013-07-01T00:00:00.000"/>
    <x v="2"/>
    <s v="Government"/>
    <x v="1"/>
    <x v="20"/>
    <s v="In Bar Yi"/>
    <n v="8"/>
    <m/>
    <m/>
    <n v="29"/>
    <n v="24"/>
    <n v="5"/>
    <m/>
    <m/>
    <m/>
    <n v="232"/>
  </r>
  <r>
    <d v="2013-07-01T00:00:00.000"/>
    <x v="2"/>
    <s v="Government"/>
    <x v="1"/>
    <x v="20"/>
    <s v="Khaung Htoke"/>
    <n v="8"/>
    <m/>
    <m/>
    <n v="10"/>
    <n v="10"/>
    <m/>
    <m/>
    <m/>
    <m/>
    <n v="80"/>
  </r>
  <r>
    <d v="2013-07-01T00:00:00.000"/>
    <x v="2"/>
    <s v="Government"/>
    <x v="1"/>
    <x v="20"/>
    <s v="Let Saung Kauk"/>
    <n v="8"/>
    <m/>
    <m/>
    <n v="2"/>
    <n v="2"/>
    <m/>
    <m/>
    <m/>
    <m/>
    <n v="16"/>
  </r>
  <r>
    <d v="2013-07-01T00:00:00.000"/>
    <x v="2"/>
    <s v="Government"/>
    <x v="1"/>
    <x v="20"/>
    <s v="Ah Lel Kyun"/>
    <n v="8"/>
    <m/>
    <m/>
    <n v="2"/>
    <n v="2"/>
    <m/>
    <m/>
    <m/>
    <m/>
    <n v="16"/>
  </r>
  <r>
    <d v="2013-07-01T00:00:00.000"/>
    <x v="2"/>
    <s v="Government"/>
    <x v="1"/>
    <x v="20"/>
    <s v="Goke Pi Htaunt"/>
    <n v="8"/>
    <m/>
    <m/>
    <n v="10"/>
    <n v="10"/>
    <m/>
    <m/>
    <m/>
    <m/>
    <n v="80"/>
  </r>
  <r>
    <d v="2013-07-01T00:00:00.000"/>
    <x v="2"/>
    <s v="Government"/>
    <x v="1"/>
    <x v="20"/>
    <s v="Ah Lel"/>
    <n v="8"/>
    <m/>
    <m/>
    <n v="2"/>
    <n v="1"/>
    <n v="1"/>
    <m/>
    <m/>
    <m/>
    <n v="16"/>
  </r>
  <r>
    <d v="2013-07-01T00:00:00.000"/>
    <x v="2"/>
    <s v="Government"/>
    <x v="1"/>
    <x v="20"/>
    <s v="Yun Nyar"/>
    <n v="8"/>
    <m/>
    <m/>
    <n v="14"/>
    <n v="12"/>
    <n v="2"/>
    <m/>
    <m/>
    <m/>
    <n v="112"/>
  </r>
  <r>
    <d v="2013-07-01T00:00:00.000"/>
    <x v="2"/>
    <s v="Government"/>
    <x v="1"/>
    <x v="20"/>
    <s v="Taung Bwe"/>
    <n v="8"/>
    <m/>
    <m/>
    <n v="8"/>
    <n v="6"/>
    <n v="2"/>
    <m/>
    <m/>
    <m/>
    <n v="64"/>
  </r>
  <r>
    <d v="2013-07-01T00:00:00.000"/>
    <x v="2"/>
    <s v="Government"/>
    <x v="1"/>
    <x v="19"/>
    <s v="Kyauk Ta Lone"/>
    <n v="8"/>
    <m/>
    <m/>
    <n v="22"/>
    <n v="22"/>
    <m/>
    <m/>
    <m/>
    <m/>
    <n v="176"/>
  </r>
  <r>
    <d v="2013-07-01T00:00:00.000"/>
    <x v="4"/>
    <s v="Service City"/>
    <x v="1"/>
    <x v="19"/>
    <s v="Kyauk Ta Lone"/>
    <n v="8"/>
    <m/>
    <m/>
    <n v="7"/>
    <n v="7"/>
    <m/>
    <m/>
    <m/>
    <m/>
    <n v="56"/>
  </r>
  <r>
    <d v="2013-07-01T00:00:00.000"/>
    <x v="4"/>
    <s v="Service City"/>
    <x v="1"/>
    <x v="19"/>
    <s v="Pha Yar Gyi Kwin"/>
    <n v="8"/>
    <m/>
    <m/>
    <n v="31"/>
    <n v="31"/>
    <m/>
    <m/>
    <m/>
    <m/>
    <n v="248"/>
  </r>
  <r>
    <d v="2013-07-01T00:00:00.000"/>
    <x v="2"/>
    <s v="Government"/>
    <x v="1"/>
    <x v="23"/>
    <s v="Yai Thei-Muslim"/>
    <n v="8"/>
    <m/>
    <m/>
    <n v="46"/>
    <n v="0"/>
    <n v="13"/>
    <m/>
    <m/>
    <m/>
    <n v="104"/>
  </r>
  <r>
    <d v="2013-07-01T00:00:00.000"/>
    <x v="2"/>
    <s v="Government"/>
    <x v="1"/>
    <x v="23"/>
    <s v="Pa Rein"/>
    <n v="8"/>
    <m/>
    <m/>
    <n v="26"/>
    <n v="9"/>
    <n v="17"/>
    <m/>
    <m/>
    <m/>
    <n v="208"/>
  </r>
  <r>
    <d v="2013-07-01T00:00:00.000"/>
    <x v="2"/>
    <s v="Government"/>
    <x v="1"/>
    <x v="22"/>
    <s v="Tha Yet Oak"/>
    <n v="8"/>
    <m/>
    <m/>
    <n v="20"/>
    <n v="19"/>
    <n v="1"/>
    <m/>
    <m/>
    <m/>
    <n v="160"/>
  </r>
  <r>
    <d v="2013-07-01T00:00:00.000"/>
    <x v="2"/>
    <s v="Government"/>
    <x v="1"/>
    <x v="22"/>
    <s v="Paik Thay"/>
    <n v="8"/>
    <m/>
    <m/>
    <n v="2"/>
    <m/>
    <n v="2"/>
    <m/>
    <m/>
    <m/>
    <n v="16"/>
  </r>
  <r>
    <d v="2013-07-01T00:00:00.000"/>
    <x v="2"/>
    <s v="Government"/>
    <x v="1"/>
    <x v="22"/>
    <s v="Sam Ba Le"/>
    <n v="8"/>
    <m/>
    <m/>
    <n v="28"/>
    <m/>
    <n v="17"/>
    <m/>
    <m/>
    <m/>
    <n v="136"/>
  </r>
  <r>
    <d v="2013-07-01T00:00:00.000"/>
    <x v="2"/>
    <s v="Government"/>
    <x v="1"/>
    <x v="22"/>
    <s v="San Htoe Tan"/>
    <n v="8"/>
    <m/>
    <m/>
    <n v="10"/>
    <m/>
    <n v="10"/>
    <m/>
    <m/>
    <m/>
    <n v="80"/>
  </r>
  <r>
    <d v="2013-07-01T00:00:00.000"/>
    <x v="2"/>
    <s v="Government"/>
    <x v="1"/>
    <x v="22"/>
    <s v="Aung Taing"/>
    <n v="8"/>
    <m/>
    <m/>
    <n v="10"/>
    <m/>
    <n v="10"/>
    <m/>
    <m/>
    <m/>
    <n v="80"/>
  </r>
  <r>
    <d v="2013-07-01T00:00:00.000"/>
    <x v="2"/>
    <s v="Government"/>
    <x v="1"/>
    <x v="22"/>
    <s v="Tha Dar"/>
    <n v="8"/>
    <m/>
    <m/>
    <n v="14"/>
    <n v="2"/>
    <n v="12"/>
    <m/>
    <m/>
    <m/>
    <n v="112"/>
  </r>
  <r>
    <d v="2013-07-01T00:00:00.000"/>
    <x v="7"/>
    <s v="MRCS"/>
    <x v="1"/>
    <x v="28"/>
    <m/>
    <n v="8"/>
    <m/>
    <s v=" "/>
    <n v="50"/>
    <m/>
    <m/>
    <m/>
    <m/>
    <m/>
    <n v="0"/>
  </r>
  <r>
    <d v="2013-07-01T00:00:00.000"/>
    <x v="3"/>
    <s v="CARE"/>
    <x v="1"/>
    <x v="28"/>
    <m/>
    <m/>
    <m/>
    <m/>
    <n v="224"/>
    <m/>
    <m/>
    <m/>
    <m/>
    <m/>
    <n v="0"/>
  </r>
  <r>
    <d v="2013-07-01T00:00:00.000"/>
    <x v="0"/>
    <s v="UNHCR"/>
    <x v="1"/>
    <x v="26"/>
    <s v="Koe Tan Kauk/Chein Khar Li"/>
    <n v="1"/>
    <n v="408"/>
    <n v="414"/>
    <m/>
    <m/>
    <m/>
    <m/>
    <m/>
    <m/>
    <n v="0"/>
  </r>
  <r>
    <d v="2013-07-01T00:00:00.000"/>
    <x v="0"/>
    <s v="UNHCR"/>
    <x v="1"/>
    <x v="26"/>
    <s v="Nyaung Pin Gyi"/>
    <n v="1"/>
    <m/>
    <n v="2"/>
    <m/>
    <m/>
    <m/>
    <m/>
    <m/>
    <m/>
    <n v="0"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  <r>
    <m/>
    <x v="10"/>
    <m/>
    <x v="2"/>
    <x v="28"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53">
  <r>
    <d v="2013-05-13T00:00:00.000"/>
    <x v="0"/>
    <m/>
    <x v="0"/>
    <x v="0"/>
    <s v="Lisu"/>
    <m/>
    <m/>
    <n v="132"/>
    <n v="73"/>
    <n v="33"/>
    <n v="73"/>
    <n v="33"/>
    <n v="33"/>
    <n v="0"/>
    <n v="0"/>
    <n v="0"/>
    <n v="0"/>
    <n v="0"/>
    <n v="0"/>
    <n v="0"/>
    <n v="0"/>
  </r>
  <r>
    <d v="2013-05-13T00:00:00.000"/>
    <x v="0"/>
    <m/>
    <x v="0"/>
    <x v="0"/>
    <s v="Robert camp"/>
    <m/>
    <m/>
    <n v="92"/>
    <n v="50"/>
    <n v="23"/>
    <n v="50"/>
    <n v="23"/>
    <n v="23"/>
    <n v="0"/>
    <n v="0"/>
    <n v="0"/>
    <n v="0"/>
    <n v="0"/>
    <n v="0"/>
    <n v="0"/>
    <n v="0"/>
  </r>
  <r>
    <d v="2013-05-22T00:00:00.000"/>
    <x v="0"/>
    <m/>
    <x v="0"/>
    <x v="1"/>
    <s v="Chipwi KBC camp"/>
    <m/>
    <m/>
    <n v="80"/>
    <n v="84"/>
    <n v="41"/>
    <n v="84"/>
    <n v="41"/>
    <n v="41"/>
    <n v="0"/>
    <n v="0"/>
    <n v="0"/>
    <n v="0"/>
    <n v="0"/>
    <n v="0"/>
    <n v="0"/>
    <n v="0"/>
  </r>
  <r>
    <d v="2013-05-22T00:00:00.000"/>
    <x v="0"/>
    <m/>
    <x v="0"/>
    <x v="2"/>
    <s v="Nga Pyaw Taw Baptist Nursery School "/>
    <m/>
    <m/>
    <n v="273"/>
    <n v="339"/>
    <n v="151"/>
    <n v="339"/>
    <n v="151"/>
    <n v="151"/>
    <n v="0"/>
    <n v="0"/>
    <n v="0"/>
    <n v="0"/>
    <n v="0"/>
    <n v="0"/>
    <n v="0"/>
    <n v="0"/>
  </r>
  <r>
    <d v="2013-05-22T00:00:00.000"/>
    <x v="0"/>
    <m/>
    <x v="0"/>
    <x v="2"/>
    <s v="Yumar Baptist Church"/>
    <m/>
    <m/>
    <n v="42"/>
    <n v="66"/>
    <n v="28"/>
    <n v="66"/>
    <n v="28"/>
    <n v="28"/>
    <n v="0"/>
    <n v="0"/>
    <n v="0"/>
    <n v="0"/>
    <n v="0"/>
    <n v="0"/>
    <n v="0"/>
    <n v="0"/>
  </r>
  <r>
    <d v="2013-05-22T00:00:00.000"/>
    <x v="0"/>
    <m/>
    <x v="0"/>
    <x v="2"/>
    <s v="Mashi Kahtawng Baptist  Church"/>
    <m/>
    <m/>
    <n v="48"/>
    <n v="74"/>
    <n v="31"/>
    <n v="74"/>
    <n v="31"/>
    <n v="31"/>
    <n v="0"/>
    <n v="0"/>
    <n v="0"/>
    <n v="0"/>
    <n v="0"/>
    <n v="0"/>
    <n v="0"/>
    <n v="0"/>
  </r>
  <r>
    <d v="2013-05-22T00:00:00.000"/>
    <x v="0"/>
    <m/>
    <x v="0"/>
    <x v="2"/>
    <s v="Association of Christ, Nam Ma Phyit"/>
    <m/>
    <m/>
    <n v="34"/>
    <n v="61"/>
    <n v="30"/>
    <n v="61"/>
    <n v="30"/>
    <n v="30"/>
    <n v="0"/>
    <n v="0"/>
    <n v="0"/>
    <n v="0"/>
    <n v="0"/>
    <n v="0"/>
    <n v="0"/>
    <n v="0"/>
  </r>
  <r>
    <d v="2013-05-09T00:00:00.000"/>
    <x v="0"/>
    <m/>
    <x v="0"/>
    <x v="3"/>
    <s v="Hka Nan"/>
    <m/>
    <m/>
    <n v="796"/>
    <n v="199"/>
    <n v="199"/>
    <n v="597"/>
    <n v="199"/>
    <n v="199"/>
    <n v="0"/>
    <n v="0"/>
    <n v="0"/>
    <n v="0"/>
    <n v="0"/>
    <n v="0"/>
    <n v="0"/>
    <n v="0"/>
  </r>
  <r>
    <d v="2013-05-09T00:00:00.000"/>
    <x v="0"/>
    <m/>
    <x v="0"/>
    <x v="3"/>
    <s v="A Lin Kaung"/>
    <m/>
    <m/>
    <n v="392"/>
    <n v="98"/>
    <n v="98"/>
    <n v="294"/>
    <n v="98"/>
    <n v="98"/>
    <n v="0"/>
    <n v="0"/>
    <n v="0"/>
    <n v="0"/>
    <n v="0"/>
    <n v="0"/>
    <n v="0"/>
    <n v="0"/>
  </r>
  <r>
    <d v="2013-05-09T00:00:00.000"/>
    <x v="0"/>
    <m/>
    <x v="0"/>
    <x v="3"/>
    <s v="Kyay Nan"/>
    <m/>
    <m/>
    <n v="496"/>
    <n v="124"/>
    <n v="124"/>
    <n v="372"/>
    <n v="124"/>
    <n v="124"/>
    <n v="0"/>
    <n v="0"/>
    <n v="0"/>
    <n v="0"/>
    <n v="0"/>
    <n v="0"/>
    <n v="0"/>
    <n v="0"/>
  </r>
  <r>
    <d v="2013-05-10T00:00:00.000"/>
    <x v="0"/>
    <m/>
    <x v="0"/>
    <x v="3"/>
    <s v="man bon"/>
    <m/>
    <m/>
    <n v="72"/>
    <n v="18"/>
    <n v="18"/>
    <n v="54"/>
    <n v="18"/>
    <n v="18"/>
    <n v="0"/>
    <n v="0"/>
    <n v="0"/>
    <n v="0"/>
    <n v="0"/>
    <n v="0"/>
    <n v="0"/>
    <n v="0"/>
  </r>
  <r>
    <d v="2013-05-10T00:00:00.000"/>
    <x v="0"/>
    <m/>
    <x v="0"/>
    <x v="3"/>
    <s v="Tarli"/>
    <m/>
    <m/>
    <n v="40"/>
    <n v="10"/>
    <n v="10"/>
    <n v="30"/>
    <n v="10"/>
    <n v="10"/>
    <n v="0"/>
    <n v="0"/>
    <n v="0"/>
    <n v="0"/>
    <n v="0"/>
    <n v="0"/>
    <n v="0"/>
    <n v="0"/>
  </r>
  <r>
    <d v="2013-05-10T00:00:00.000"/>
    <x v="0"/>
    <m/>
    <x v="0"/>
    <x v="3"/>
    <s v="Myo Thit"/>
    <m/>
    <m/>
    <n v="52"/>
    <n v="13"/>
    <n v="13"/>
    <n v="39"/>
    <n v="13"/>
    <n v="13"/>
    <n v="0"/>
    <n v="0"/>
    <n v="0"/>
    <n v="0"/>
    <n v="0"/>
    <n v="0"/>
    <n v="0"/>
    <n v="0"/>
  </r>
  <r>
    <d v="2013-05-10T00:00:00.000"/>
    <x v="0"/>
    <m/>
    <x v="0"/>
    <x v="3"/>
    <s v="Mann Naung"/>
    <m/>
    <m/>
    <n v="112"/>
    <n v="28"/>
    <n v="28"/>
    <n v="84"/>
    <n v="28"/>
    <n v="28"/>
    <n v="0"/>
    <n v="0"/>
    <n v="0"/>
    <n v="0"/>
    <n v="0"/>
    <n v="0"/>
    <n v="0"/>
    <n v="0"/>
  </r>
  <r>
    <d v="2013-05-10T00:00:00.000"/>
    <x v="0"/>
    <m/>
    <x v="0"/>
    <x v="3"/>
    <s v="Mine Hkat"/>
    <m/>
    <m/>
    <n v="12"/>
    <n v="3"/>
    <n v="3"/>
    <n v="9"/>
    <n v="3"/>
    <n v="3"/>
    <n v="0"/>
    <n v="0"/>
    <n v="0"/>
    <n v="0"/>
    <n v="0"/>
    <n v="0"/>
    <n v="0"/>
    <n v="0"/>
  </r>
  <r>
    <d v="2013-05-10T00:00:00.000"/>
    <x v="0"/>
    <m/>
    <x v="0"/>
    <x v="3"/>
    <s v="Hkone Sint"/>
    <m/>
    <m/>
    <n v="16"/>
    <n v="4"/>
    <n v="4"/>
    <n v="12"/>
    <n v="4"/>
    <n v="4"/>
    <n v="0"/>
    <n v="0"/>
    <n v="0"/>
    <n v="0"/>
    <n v="0"/>
    <n v="0"/>
    <n v="0"/>
    <n v="0"/>
  </r>
  <r>
    <d v="2013-05-15T00:00:00.000"/>
    <x v="0"/>
    <m/>
    <x v="0"/>
    <x v="3"/>
    <s v="Dawt Hpone Yan"/>
    <m/>
    <m/>
    <n v="124"/>
    <n v="31"/>
    <n v="31"/>
    <n v="93"/>
    <n v="31"/>
    <n v="31"/>
    <n v="0"/>
    <n v="0"/>
    <n v="0"/>
    <n v="0"/>
    <n v="0"/>
    <n v="0"/>
    <n v="0"/>
    <n v="0"/>
  </r>
  <r>
    <d v="2013-05-28T00:00:00.000"/>
    <x v="0"/>
    <m/>
    <x v="0"/>
    <x v="4"/>
    <s v="Qtr. 2 Lhaovo Baptist Church"/>
    <m/>
    <m/>
    <n v="18"/>
    <n v="20"/>
    <n v="14"/>
    <n v="20"/>
    <n v="10"/>
    <n v="10"/>
    <n v="0"/>
    <n v="0"/>
    <n v="0"/>
    <n v="0"/>
    <n v="0"/>
    <n v="0"/>
    <n v="0"/>
    <n v="0"/>
  </r>
  <r>
    <d v="2013-05-29T00:00:00.000"/>
    <x v="0"/>
    <m/>
    <x v="1"/>
    <x v="5"/>
    <s v="Raw Ma Ni Sin Oe"/>
    <n v="0"/>
    <n v="10"/>
    <m/>
    <m/>
    <m/>
    <m/>
    <m/>
    <m/>
    <n v="0"/>
    <n v="0"/>
    <n v="0"/>
    <n v="0"/>
    <n v="0"/>
    <n v="0"/>
    <n v="0"/>
    <n v="0"/>
  </r>
  <r>
    <d v="2013-05-29T00:00:00.000"/>
    <x v="0"/>
    <s v="Solidarities International"/>
    <x v="1"/>
    <x v="6"/>
    <m/>
    <m/>
    <m/>
    <m/>
    <m/>
    <n v="1520"/>
    <m/>
    <m/>
    <m/>
    <n v="0"/>
    <n v="0"/>
    <n v="0"/>
    <n v="0"/>
    <n v="0"/>
    <n v="0"/>
    <n v="0"/>
    <n v="0"/>
  </r>
  <r>
    <d v="2013-05-28T00:00:00.000"/>
    <x v="0"/>
    <m/>
    <x v="1"/>
    <x v="6"/>
    <s v="Thet Kae Pyin "/>
    <m/>
    <m/>
    <m/>
    <m/>
    <n v="108"/>
    <m/>
    <m/>
    <m/>
    <n v="0"/>
    <n v="0"/>
    <n v="0"/>
    <n v="0"/>
    <n v="0"/>
    <n v="0"/>
    <n v="0"/>
    <n v="0"/>
  </r>
  <r>
    <d v="2013-05-27T00:00:00.000"/>
    <x v="0"/>
    <m/>
    <x v="1"/>
    <x v="6"/>
    <s v="Thet Kae Pyin "/>
    <m/>
    <m/>
    <m/>
    <m/>
    <n v="111"/>
    <m/>
    <m/>
    <m/>
    <n v="0"/>
    <n v="0"/>
    <n v="0"/>
    <n v="0"/>
    <n v="0"/>
    <n v="0"/>
    <n v="0"/>
    <n v="0"/>
  </r>
  <r>
    <d v="2013-05-02T00:00:00.000"/>
    <x v="0"/>
    <m/>
    <x v="1"/>
    <x v="7"/>
    <s v="Aung Taing"/>
    <m/>
    <m/>
    <m/>
    <m/>
    <m/>
    <n v="1"/>
    <m/>
    <m/>
    <n v="0"/>
    <n v="0"/>
    <n v="0"/>
    <n v="0"/>
    <n v="0"/>
    <n v="0"/>
    <n v="0"/>
    <n v="0"/>
  </r>
  <r>
    <d v="2013-05-02T00:00:00.000"/>
    <x v="0"/>
    <m/>
    <x v="1"/>
    <x v="7"/>
    <s v="Aung Taing"/>
    <m/>
    <m/>
    <m/>
    <m/>
    <n v="1"/>
    <m/>
    <m/>
    <m/>
    <n v="0"/>
    <n v="0"/>
    <n v="0"/>
    <n v="0"/>
    <n v="0"/>
    <n v="0"/>
    <n v="0"/>
    <n v="0"/>
  </r>
  <r>
    <d v="2013-04-30T00:00:00.000"/>
    <x v="0"/>
    <m/>
    <x v="1"/>
    <x v="8"/>
    <m/>
    <m/>
    <m/>
    <m/>
    <m/>
    <m/>
    <n v="1"/>
    <m/>
    <m/>
    <n v="0"/>
    <n v="0"/>
    <n v="0"/>
    <n v="0"/>
    <n v="0"/>
    <n v="0"/>
    <n v="0"/>
    <n v="0"/>
  </r>
  <r>
    <d v="2013-04-29T00:00:00.000"/>
    <x v="0"/>
    <m/>
    <x v="1"/>
    <x v="9"/>
    <s v="Nyaung Pin Gyi"/>
    <n v="0"/>
    <n v="64"/>
    <n v="128"/>
    <n v="128"/>
    <n v="64"/>
    <n v="0"/>
    <m/>
    <m/>
    <n v="0"/>
    <n v="0"/>
    <n v="0"/>
    <n v="0"/>
    <n v="0"/>
    <n v="0"/>
    <n v="0"/>
    <n v="0"/>
  </r>
  <r>
    <d v="2013-04-12T00:00:00.000"/>
    <x v="0"/>
    <m/>
    <x v="1"/>
    <x v="6"/>
    <s v="Bu May Ohn Taw"/>
    <m/>
    <m/>
    <m/>
    <m/>
    <m/>
    <n v="54"/>
    <m/>
    <m/>
    <n v="0"/>
    <n v="0"/>
    <n v="0"/>
    <n v="0"/>
    <n v="0"/>
    <n v="0"/>
    <n v="0"/>
    <n v="0"/>
  </r>
  <r>
    <d v="2013-04-10T00:00:00.000"/>
    <x v="0"/>
    <m/>
    <x v="1"/>
    <x v="8"/>
    <s v="Sin Tet Maw"/>
    <m/>
    <m/>
    <m/>
    <m/>
    <m/>
    <n v="91"/>
    <m/>
    <m/>
    <n v="0"/>
    <n v="0"/>
    <n v="0"/>
    <n v="0"/>
    <n v="0"/>
    <n v="0"/>
    <n v="0"/>
    <n v="0"/>
  </r>
  <r>
    <d v="2013-04-10T00:00:00.000"/>
    <x v="0"/>
    <m/>
    <x v="1"/>
    <x v="6"/>
    <s v="Bu May Ohn Taw"/>
    <m/>
    <m/>
    <m/>
    <m/>
    <m/>
    <n v="90"/>
    <m/>
    <m/>
    <n v="0"/>
    <n v="0"/>
    <n v="0"/>
    <n v="0"/>
    <n v="0"/>
    <n v="0"/>
    <n v="0"/>
    <n v="0"/>
  </r>
  <r>
    <d v="2013-04-09T00:00:00.000"/>
    <x v="0"/>
    <m/>
    <x v="1"/>
    <x v="6"/>
    <s v="Bu May Ohn Taw"/>
    <m/>
    <m/>
    <m/>
    <m/>
    <m/>
    <n v="90"/>
    <m/>
    <m/>
    <n v="0"/>
    <n v="0"/>
    <n v="0"/>
    <n v="0"/>
    <n v="0"/>
    <n v="0"/>
    <n v="0"/>
    <n v="0"/>
  </r>
  <r>
    <d v="2013-04-05T00:00:00.000"/>
    <x v="0"/>
    <m/>
    <x v="1"/>
    <x v="6"/>
    <s v="Bu May Ohn Taw"/>
    <m/>
    <m/>
    <m/>
    <m/>
    <m/>
    <n v="90"/>
    <m/>
    <m/>
    <n v="0"/>
    <n v="0"/>
    <n v="0"/>
    <n v="0"/>
    <n v="0"/>
    <n v="0"/>
    <n v="0"/>
    <n v="0"/>
  </r>
  <r>
    <d v="2013-04-04T00:00:00.000"/>
    <x v="0"/>
    <m/>
    <x v="1"/>
    <x v="6"/>
    <s v="Bu May Ohn Taw"/>
    <m/>
    <m/>
    <m/>
    <m/>
    <m/>
    <n v="45"/>
    <m/>
    <m/>
    <n v="0"/>
    <n v="0"/>
    <n v="0"/>
    <n v="0"/>
    <n v="0"/>
    <n v="0"/>
    <n v="0"/>
    <n v="0"/>
  </r>
  <r>
    <d v="2013-04-03T00:00:00.000"/>
    <x v="0"/>
    <m/>
    <x v="1"/>
    <x v="6"/>
    <s v="Bu May Ohn Taw"/>
    <m/>
    <m/>
    <m/>
    <m/>
    <m/>
    <n v="45"/>
    <m/>
    <m/>
    <n v="0"/>
    <n v="0"/>
    <n v="0"/>
    <n v="0"/>
    <n v="0"/>
    <n v="0"/>
    <n v="0"/>
    <n v="0"/>
  </r>
  <r>
    <d v="2013-03-14T00:00:00.000"/>
    <x v="0"/>
    <m/>
    <x v="1"/>
    <x v="10"/>
    <s v="Bomu Ywa"/>
    <n v="0"/>
    <n v="79"/>
    <n v="158"/>
    <n v="292"/>
    <n v="79"/>
    <n v="0"/>
    <m/>
    <m/>
    <n v="0"/>
    <n v="0"/>
    <n v="0"/>
    <n v="0"/>
    <n v="0"/>
    <n v="0"/>
    <n v="0"/>
    <n v="0"/>
  </r>
  <r>
    <d v="2013-03-14T00:00:00.000"/>
    <x v="0"/>
    <m/>
    <x v="1"/>
    <x v="9"/>
    <s v="Ah Nauk Pyin"/>
    <n v="0"/>
    <n v="68"/>
    <n v="136"/>
    <n v="136"/>
    <n v="68"/>
    <n v="0"/>
    <m/>
    <m/>
    <n v="0"/>
    <n v="0"/>
    <n v="0"/>
    <n v="0"/>
    <n v="0"/>
    <n v="0"/>
    <n v="0"/>
    <n v="0"/>
  </r>
  <r>
    <d v="2013-03-05T00:00:00.000"/>
    <x v="0"/>
    <m/>
    <x v="1"/>
    <x v="10"/>
    <s v="Myoma Myauk"/>
    <n v="0"/>
    <n v="0"/>
    <n v="0"/>
    <n v="34"/>
    <n v="0"/>
    <n v="0"/>
    <m/>
    <m/>
    <n v="0"/>
    <n v="0"/>
    <n v="0"/>
    <n v="0"/>
    <n v="0"/>
    <n v="0"/>
    <n v="0"/>
    <n v="0"/>
  </r>
  <r>
    <d v="2013-03-03T00:00:00.000"/>
    <x v="0"/>
    <m/>
    <x v="1"/>
    <x v="7"/>
    <s v="Thay Kan"/>
    <m/>
    <m/>
    <m/>
    <m/>
    <m/>
    <n v="33"/>
    <m/>
    <m/>
    <n v="0"/>
    <n v="0"/>
    <n v="0"/>
    <n v="0"/>
    <n v="0"/>
    <n v="0"/>
    <n v="0"/>
    <n v="0"/>
  </r>
  <r>
    <d v="2013-03-03T00:00:00.000"/>
    <x v="0"/>
    <m/>
    <x v="1"/>
    <x v="11"/>
    <s v="Nidin"/>
    <m/>
    <m/>
    <m/>
    <m/>
    <m/>
    <n v="83"/>
    <m/>
    <m/>
    <n v="0"/>
    <n v="0"/>
    <n v="0"/>
    <n v="0"/>
    <n v="0"/>
    <n v="0"/>
    <n v="0"/>
    <n v="0"/>
  </r>
  <r>
    <d v="2013-03-01T00:00:00.000"/>
    <x v="0"/>
    <m/>
    <x v="1"/>
    <x v="10"/>
    <s v="Thaung Paing Nyar"/>
    <n v="0"/>
    <n v="51"/>
    <n v="102"/>
    <n v="156"/>
    <n v="51"/>
    <n v="0"/>
    <m/>
    <m/>
    <n v="0"/>
    <n v="0"/>
    <n v="0"/>
    <n v="0"/>
    <n v="0"/>
    <n v="0"/>
    <n v="0"/>
    <n v="0"/>
  </r>
  <r>
    <d v="2013-02-27T00:00:00.000"/>
    <x v="0"/>
    <m/>
    <x v="1"/>
    <x v="10"/>
    <s v="Bomu Ywa"/>
    <n v="0"/>
    <n v="50"/>
    <n v="100"/>
    <n v="171"/>
    <n v="50"/>
    <n v="0"/>
    <m/>
    <m/>
    <n v="0"/>
    <n v="0"/>
    <n v="0"/>
    <n v="0"/>
    <n v="0"/>
    <n v="0"/>
    <n v="0"/>
    <n v="0"/>
  </r>
  <r>
    <d v="2013-02-27T00:00:00.000"/>
    <x v="1"/>
    <m/>
    <x v="1"/>
    <x v="6"/>
    <s v="Set Yone Su"/>
    <n v="0"/>
    <n v="200"/>
    <m/>
    <m/>
    <m/>
    <m/>
    <m/>
    <m/>
    <n v="0"/>
    <n v="0"/>
    <n v="0"/>
    <n v="0"/>
    <n v="0"/>
    <n v="0"/>
    <n v="0"/>
    <n v="0"/>
  </r>
  <r>
    <d v="2013-02-27T00:00:00.000"/>
    <x v="1"/>
    <m/>
    <x v="1"/>
    <x v="6"/>
    <s v="Ohn Taw Gyi 1"/>
    <n v="0"/>
    <n v="800"/>
    <m/>
    <m/>
    <m/>
    <m/>
    <m/>
    <m/>
    <n v="0"/>
    <n v="0"/>
    <n v="0"/>
    <n v="0"/>
    <n v="0"/>
    <n v="0"/>
    <n v="0"/>
    <n v="0"/>
  </r>
  <r>
    <d v="2013-02-22T00:00:00.000"/>
    <x v="0"/>
    <m/>
    <x v="1"/>
    <x v="10"/>
    <s v="Nyaung Pin Hla"/>
    <n v="0"/>
    <n v="15"/>
    <n v="30"/>
    <n v="52"/>
    <n v="15"/>
    <n v="0"/>
    <m/>
    <m/>
    <n v="0"/>
    <n v="0"/>
    <n v="0"/>
    <n v="0"/>
    <n v="0"/>
    <n v="0"/>
    <n v="0"/>
    <n v="0"/>
  </r>
  <r>
    <d v="2013-02-22T00:00:00.000"/>
    <x v="2"/>
    <m/>
    <x v="1"/>
    <x v="8"/>
    <s v="Nget Chaung"/>
    <n v="1306"/>
    <n v="0"/>
    <m/>
    <m/>
    <m/>
    <m/>
    <m/>
    <m/>
    <n v="0"/>
    <n v="0"/>
    <n v="0"/>
    <n v="0"/>
    <n v="0"/>
    <n v="0"/>
    <n v="0"/>
    <n v="0"/>
  </r>
  <r>
    <d v="2013-02-22T00:00:00.000"/>
    <x v="2"/>
    <m/>
    <x v="1"/>
    <x v="8"/>
    <s v="Ba Wan Chaung Wa Su"/>
    <n v="23"/>
    <n v="0"/>
    <m/>
    <m/>
    <m/>
    <m/>
    <m/>
    <m/>
    <n v="0"/>
    <n v="0"/>
    <n v="0"/>
    <n v="0"/>
    <n v="0"/>
    <n v="0"/>
    <n v="0"/>
    <n v="0"/>
  </r>
  <r>
    <d v="2013-02-15T00:00:00.000"/>
    <x v="2"/>
    <m/>
    <x v="1"/>
    <x v="5"/>
    <s v="Yai Thei-Muslim"/>
    <n v="360"/>
    <m/>
    <m/>
    <m/>
    <m/>
    <m/>
    <m/>
    <m/>
    <n v="0"/>
    <n v="0"/>
    <n v="0"/>
    <n v="0"/>
    <n v="0"/>
    <n v="0"/>
    <n v="0"/>
    <n v="0"/>
  </r>
  <r>
    <d v="2013-02-15T00:00:00.000"/>
    <x v="2"/>
    <m/>
    <x v="1"/>
    <x v="5"/>
    <s v="Pa Rein"/>
    <n v="245"/>
    <m/>
    <m/>
    <m/>
    <m/>
    <m/>
    <m/>
    <m/>
    <n v="0"/>
    <n v="0"/>
    <n v="0"/>
    <n v="0"/>
    <n v="0"/>
    <n v="0"/>
    <n v="0"/>
    <n v="0"/>
  </r>
  <r>
    <d v="2013-02-15T00:00:00.000"/>
    <x v="2"/>
    <m/>
    <x v="1"/>
    <x v="7"/>
    <s v="Tha Dar"/>
    <n v="205"/>
    <m/>
    <m/>
    <m/>
    <m/>
    <m/>
    <m/>
    <m/>
    <n v="0"/>
    <n v="0"/>
    <n v="0"/>
    <n v="0"/>
    <n v="0"/>
    <n v="0"/>
    <n v="0"/>
    <n v="0"/>
  </r>
  <r>
    <d v="2013-02-15T00:00:00.000"/>
    <x v="2"/>
    <m/>
    <x v="1"/>
    <x v="7"/>
    <s v="Paik Thay"/>
    <n v="20"/>
    <m/>
    <m/>
    <m/>
    <m/>
    <m/>
    <m/>
    <m/>
    <n v="0"/>
    <n v="0"/>
    <n v="0"/>
    <n v="0"/>
    <n v="0"/>
    <n v="0"/>
    <n v="0"/>
    <n v="0"/>
  </r>
  <r>
    <d v="2013-02-15T00:00:00.000"/>
    <x v="2"/>
    <m/>
    <x v="1"/>
    <x v="7"/>
    <s v="Nagara Pauktaw"/>
    <n v="230"/>
    <m/>
    <m/>
    <m/>
    <m/>
    <m/>
    <m/>
    <m/>
    <n v="0"/>
    <n v="0"/>
    <n v="0"/>
    <n v="0"/>
    <n v="0"/>
    <n v="0"/>
    <n v="0"/>
    <n v="0"/>
  </r>
  <r>
    <d v="2013-02-15T00:00:00.000"/>
    <x v="2"/>
    <m/>
    <x v="1"/>
    <x v="7"/>
    <s v="Thay Kan"/>
    <n v="35"/>
    <m/>
    <m/>
    <m/>
    <m/>
    <m/>
    <m/>
    <m/>
    <n v="0"/>
    <n v="0"/>
    <n v="0"/>
    <n v="0"/>
    <n v="0"/>
    <n v="0"/>
    <n v="0"/>
    <n v="0"/>
  </r>
  <r>
    <d v="2013-02-15T00:00:00.000"/>
    <x v="2"/>
    <m/>
    <x v="1"/>
    <x v="7"/>
    <s v="Aung Taing"/>
    <n v="90"/>
    <m/>
    <m/>
    <m/>
    <m/>
    <m/>
    <m/>
    <m/>
    <n v="0"/>
    <n v="0"/>
    <n v="0"/>
    <n v="0"/>
    <n v="0"/>
    <n v="0"/>
    <n v="0"/>
    <n v="0"/>
  </r>
  <r>
    <d v="2013-02-15T00:00:00.000"/>
    <x v="2"/>
    <m/>
    <x v="1"/>
    <x v="7"/>
    <s v="San Htoe Tan"/>
    <n v="90"/>
    <m/>
    <m/>
    <m/>
    <m/>
    <m/>
    <m/>
    <m/>
    <n v="0"/>
    <n v="0"/>
    <n v="0"/>
    <n v="0"/>
    <n v="0"/>
    <n v="0"/>
    <n v="0"/>
    <n v="0"/>
  </r>
  <r>
    <d v="2013-02-15T00:00:00.000"/>
    <x v="2"/>
    <m/>
    <x v="1"/>
    <x v="7"/>
    <s v="Sam Ba Le"/>
    <n v="230"/>
    <m/>
    <m/>
    <m/>
    <m/>
    <m/>
    <m/>
    <m/>
    <n v="0"/>
    <n v="0"/>
    <n v="0"/>
    <n v="0"/>
    <n v="0"/>
    <n v="0"/>
    <n v="0"/>
    <n v="0"/>
  </r>
  <r>
    <d v="2013-02-15T00:00:00.000"/>
    <x v="2"/>
    <m/>
    <x v="1"/>
    <x v="5"/>
    <s v="Myat Buddha Mandine Monastery"/>
    <n v="35"/>
    <m/>
    <m/>
    <m/>
    <m/>
    <m/>
    <m/>
    <m/>
    <n v="0"/>
    <n v="0"/>
    <n v="0"/>
    <n v="0"/>
    <n v="0"/>
    <n v="0"/>
    <n v="0"/>
    <n v="0"/>
  </r>
  <r>
    <d v="2013-02-14T00:00:00.000"/>
    <x v="0"/>
    <m/>
    <x v="1"/>
    <x v="10"/>
    <s v="Ywa thit Kay"/>
    <m/>
    <n v="20"/>
    <n v="40"/>
    <n v="81"/>
    <n v="20"/>
    <m/>
    <m/>
    <m/>
    <n v="0"/>
    <n v="0"/>
    <n v="0"/>
    <n v="0"/>
    <n v="0"/>
    <n v="0"/>
    <n v="0"/>
    <n v="0"/>
  </r>
  <r>
    <d v="2013-02-14T00:00:00.000"/>
    <x v="0"/>
    <m/>
    <x v="1"/>
    <x v="8"/>
    <s v="Ah Nauk Ywe"/>
    <m/>
    <m/>
    <m/>
    <m/>
    <m/>
    <n v="500"/>
    <m/>
    <m/>
    <n v="0"/>
    <n v="0"/>
    <n v="0"/>
    <n v="0"/>
    <n v="0"/>
    <n v="0"/>
    <n v="0"/>
    <n v="0"/>
  </r>
  <r>
    <d v="2013-02-10T00:00:00.000"/>
    <x v="0"/>
    <m/>
    <x v="1"/>
    <x v="8"/>
    <s v="Ah Nauk Ywe"/>
    <m/>
    <m/>
    <m/>
    <m/>
    <m/>
    <n v="273"/>
    <m/>
    <m/>
    <n v="0"/>
    <n v="0"/>
    <n v="0"/>
    <n v="0"/>
    <n v="0"/>
    <n v="0"/>
    <n v="0"/>
    <n v="0"/>
  </r>
  <r>
    <d v="2013-02-08T00:00:00.000"/>
    <x v="2"/>
    <m/>
    <x v="1"/>
    <x v="12"/>
    <s v="Kan Thar Htwat Wa"/>
    <n v="45"/>
    <m/>
    <m/>
    <m/>
    <m/>
    <m/>
    <m/>
    <m/>
    <n v="0"/>
    <n v="0"/>
    <n v="0"/>
    <n v="0"/>
    <n v="0"/>
    <n v="0"/>
    <n v="0"/>
    <n v="0"/>
  </r>
  <r>
    <d v="2013-02-08T00:00:00.000"/>
    <x v="2"/>
    <m/>
    <x v="1"/>
    <x v="12"/>
    <s v="Taung Paw "/>
    <n v="705"/>
    <m/>
    <m/>
    <m/>
    <m/>
    <m/>
    <m/>
    <m/>
    <n v="0"/>
    <n v="0"/>
    <n v="0"/>
    <n v="0"/>
    <n v="0"/>
    <n v="0"/>
    <n v="0"/>
    <n v="0"/>
  </r>
  <r>
    <d v="2013-02-08T00:00:00.000"/>
    <x v="2"/>
    <m/>
    <x v="1"/>
    <x v="13"/>
    <s v="Kyauk Ta Lone"/>
    <n v="418"/>
    <m/>
    <m/>
    <m/>
    <m/>
    <m/>
    <m/>
    <m/>
    <n v="0"/>
    <n v="0"/>
    <n v="0"/>
    <n v="0"/>
    <n v="0"/>
    <n v="0"/>
    <n v="0"/>
    <n v="0"/>
  </r>
  <r>
    <d v="2013-02-08T00:00:00.000"/>
    <x v="2"/>
    <m/>
    <x v="1"/>
    <x v="13"/>
    <s v="Pha Yar Gyi Kwin"/>
    <n v="71"/>
    <m/>
    <m/>
    <m/>
    <m/>
    <m/>
    <m/>
    <m/>
    <n v="0"/>
    <n v="0"/>
    <n v="0"/>
    <n v="0"/>
    <n v="0"/>
    <n v="0"/>
    <n v="0"/>
    <n v="0"/>
  </r>
  <r>
    <d v="2013-02-08T00:00:00.000"/>
    <x v="2"/>
    <m/>
    <x v="1"/>
    <x v="14"/>
    <s v="Ramree Ward 6"/>
    <n v="97"/>
    <m/>
    <m/>
    <m/>
    <m/>
    <m/>
    <m/>
    <m/>
    <n v="0"/>
    <n v="0"/>
    <n v="0"/>
    <n v="0"/>
    <n v="0"/>
    <n v="0"/>
    <n v="0"/>
    <n v="0"/>
  </r>
  <r>
    <d v="2013-02-08T00:00:00.000"/>
    <x v="2"/>
    <m/>
    <x v="1"/>
    <x v="14"/>
    <s v="Ramree Town"/>
    <n v="24"/>
    <m/>
    <m/>
    <m/>
    <m/>
    <m/>
    <m/>
    <m/>
    <n v="0"/>
    <n v="0"/>
    <n v="0"/>
    <n v="0"/>
    <n v="0"/>
    <n v="0"/>
    <n v="0"/>
    <n v="0"/>
  </r>
  <r>
    <d v="2013-02-07T00:00:00.000"/>
    <x v="0"/>
    <m/>
    <x v="1"/>
    <x v="8"/>
    <s v="Ah Nauk Ywe"/>
    <m/>
    <m/>
    <m/>
    <m/>
    <m/>
    <n v="500"/>
    <m/>
    <m/>
    <n v="0"/>
    <n v="0"/>
    <n v="0"/>
    <n v="0"/>
    <n v="0"/>
    <n v="0"/>
    <n v="0"/>
    <n v="0"/>
  </r>
  <r>
    <d v="2013-01-21T00:00:00.000"/>
    <x v="3"/>
    <s v="UNHCR"/>
    <x v="1"/>
    <x v="6"/>
    <s v="Ohn Taw Gyi 3"/>
    <m/>
    <m/>
    <m/>
    <m/>
    <m/>
    <n v="38"/>
    <m/>
    <m/>
    <n v="0"/>
    <n v="0"/>
    <n v="0"/>
    <n v="0"/>
    <n v="0"/>
    <n v="0"/>
    <n v="0"/>
    <n v="0"/>
  </r>
  <r>
    <d v="2013-01-18T00:00:00.000"/>
    <x v="0"/>
    <m/>
    <x v="1"/>
    <x v="10"/>
    <s v="Du Than Dar"/>
    <m/>
    <n v="63"/>
    <n v="63"/>
    <n v="126"/>
    <n v="63"/>
    <n v="0"/>
    <m/>
    <m/>
    <n v="0"/>
    <n v="0"/>
    <n v="0"/>
    <n v="0"/>
    <n v="0"/>
    <n v="0"/>
    <n v="0"/>
    <n v="0"/>
  </r>
  <r>
    <d v="2013-01-18T00:00:00.000"/>
    <x v="3"/>
    <s v="UNHCR"/>
    <x v="1"/>
    <x v="6"/>
    <s v="Ohn Taw Gyi 3"/>
    <m/>
    <m/>
    <m/>
    <m/>
    <m/>
    <n v="50"/>
    <m/>
    <m/>
    <n v="0"/>
    <n v="0"/>
    <n v="0"/>
    <n v="0"/>
    <n v="0"/>
    <n v="0"/>
    <n v="0"/>
    <n v="0"/>
  </r>
  <r>
    <d v="2013-01-17T00:00:00.000"/>
    <x v="3"/>
    <s v="UNHCR"/>
    <x v="1"/>
    <x v="6"/>
    <s v="Ohn Taw Gyi 3"/>
    <m/>
    <m/>
    <m/>
    <m/>
    <m/>
    <n v="50"/>
    <m/>
    <m/>
    <n v="0"/>
    <n v="0"/>
    <n v="0"/>
    <n v="0"/>
    <n v="0"/>
    <n v="0"/>
    <n v="0"/>
    <n v="0"/>
  </r>
  <r>
    <d v="2013-01-10T00:00:00.000"/>
    <x v="0"/>
    <m/>
    <x v="1"/>
    <x v="10"/>
    <s v="Lamber Gone Nah"/>
    <m/>
    <n v="56"/>
    <n v="112"/>
    <n v="112"/>
    <n v="56"/>
    <n v="0"/>
    <m/>
    <m/>
    <n v="0"/>
    <n v="0"/>
    <n v="0"/>
    <n v="0"/>
    <n v="0"/>
    <n v="0"/>
    <n v="0"/>
    <n v="0"/>
  </r>
  <r>
    <d v="2013-01-10T00:00:00.000"/>
    <x v="3"/>
    <s v="UNHCR"/>
    <x v="1"/>
    <x v="6"/>
    <s v="Ohn Taw Gyi 3"/>
    <m/>
    <m/>
    <m/>
    <m/>
    <m/>
    <n v="45"/>
    <m/>
    <m/>
    <n v="0"/>
    <n v="0"/>
    <n v="0"/>
    <n v="0"/>
    <n v="0"/>
    <n v="0"/>
    <n v="0"/>
    <n v="0"/>
  </r>
  <r>
    <d v="2013-01-09T00:00:00.000"/>
    <x v="3"/>
    <s v="UNHCR"/>
    <x v="1"/>
    <x v="6"/>
    <s v="Ohn Taw Gyi 3"/>
    <m/>
    <m/>
    <m/>
    <m/>
    <m/>
    <n v="50"/>
    <m/>
    <m/>
    <n v="0"/>
    <n v="0"/>
    <n v="0"/>
    <n v="0"/>
    <n v="0"/>
    <n v="0"/>
    <n v="0"/>
    <n v="0"/>
  </r>
  <r>
    <d v="2013-01-07T00:00:00.000"/>
    <x v="0"/>
    <m/>
    <x v="1"/>
    <x v="10"/>
    <s v="Myoma Myauk"/>
    <m/>
    <n v="93"/>
    <n v="186"/>
    <n v="186"/>
    <n v="93"/>
    <n v="0"/>
    <m/>
    <m/>
    <n v="0"/>
    <n v="0"/>
    <n v="0"/>
    <n v="0"/>
    <n v="0"/>
    <n v="0"/>
    <n v="0"/>
    <n v="0"/>
  </r>
  <r>
    <d v="2013-01-07T00:00:00.000"/>
    <x v="0"/>
    <m/>
    <x v="1"/>
    <x v="9"/>
    <s v="Ah Htet Nan Yar"/>
    <m/>
    <n v="228"/>
    <n v="228"/>
    <n v="443"/>
    <n v="228"/>
    <n v="0"/>
    <m/>
    <m/>
    <n v="0"/>
    <n v="0"/>
    <n v="0"/>
    <n v="0"/>
    <n v="0"/>
    <n v="0"/>
    <n v="0"/>
    <n v="0"/>
  </r>
  <r>
    <d v="2012-12-24T00:00:00.000"/>
    <x v="0"/>
    <m/>
    <x v="1"/>
    <x v="8"/>
    <s v="Ah Nauk Ywe"/>
    <m/>
    <m/>
    <m/>
    <m/>
    <n v="758"/>
    <m/>
    <m/>
    <m/>
    <n v="0"/>
    <n v="0"/>
    <n v="0"/>
    <n v="0"/>
    <n v="0"/>
    <n v="0"/>
    <n v="0"/>
    <n v="0"/>
  </r>
  <r>
    <d v="2012-12-24T00:00:00.000"/>
    <x v="0"/>
    <m/>
    <x v="1"/>
    <x v="8"/>
    <s v="Nget Chaung"/>
    <m/>
    <m/>
    <m/>
    <m/>
    <n v="1306"/>
    <m/>
    <m/>
    <m/>
    <n v="0"/>
    <n v="0"/>
    <n v="0"/>
    <n v="0"/>
    <n v="0"/>
    <n v="0"/>
    <n v="0"/>
    <n v="0"/>
  </r>
  <r>
    <d v="2012-12-24T00:00:00.000"/>
    <x v="0"/>
    <m/>
    <x v="1"/>
    <x v="8"/>
    <s v="Sin Tet Maw"/>
    <m/>
    <m/>
    <m/>
    <m/>
    <n v="796"/>
    <m/>
    <m/>
    <m/>
    <n v="0"/>
    <n v="0"/>
    <n v="0"/>
    <n v="0"/>
    <n v="0"/>
    <n v="0"/>
    <n v="0"/>
    <n v="0"/>
  </r>
  <r>
    <d v="2012-12-23T00:00:00.000"/>
    <x v="0"/>
    <m/>
    <x v="1"/>
    <x v="10"/>
    <m/>
    <m/>
    <m/>
    <n v="3000"/>
    <m/>
    <m/>
    <m/>
    <m/>
    <m/>
    <n v="0"/>
    <n v="0"/>
    <n v="0"/>
    <n v="0"/>
    <n v="0"/>
    <n v="0"/>
    <n v="0"/>
    <n v="0"/>
  </r>
  <r>
    <d v="2012-12-23T00:00:00.000"/>
    <x v="0"/>
    <m/>
    <x v="1"/>
    <x v="10"/>
    <m/>
    <m/>
    <m/>
    <m/>
    <m/>
    <n v="1180"/>
    <m/>
    <m/>
    <m/>
    <n v="0"/>
    <n v="0"/>
    <n v="0"/>
    <n v="0"/>
    <n v="0"/>
    <n v="0"/>
    <n v="0"/>
    <n v="0"/>
  </r>
  <r>
    <d v="2012-12-18T00:00:00.000"/>
    <x v="0"/>
    <m/>
    <x v="1"/>
    <x v="11"/>
    <s v="Ah Lel"/>
    <m/>
    <m/>
    <m/>
    <m/>
    <n v="23"/>
    <m/>
    <m/>
    <m/>
    <n v="0"/>
    <n v="0"/>
    <n v="0"/>
    <n v="0"/>
    <n v="0"/>
    <n v="0"/>
    <n v="0"/>
    <n v="0"/>
  </r>
  <r>
    <d v="2012-12-18T00:00:00.000"/>
    <x v="0"/>
    <m/>
    <x v="1"/>
    <x v="11"/>
    <s v="Nidin"/>
    <m/>
    <m/>
    <m/>
    <m/>
    <n v="80"/>
    <m/>
    <m/>
    <m/>
    <n v="0"/>
    <n v="0"/>
    <n v="0"/>
    <n v="0"/>
    <n v="0"/>
    <n v="0"/>
    <n v="0"/>
    <n v="0"/>
  </r>
  <r>
    <d v="2012-12-17T00:00:00.000"/>
    <x v="0"/>
    <m/>
    <x v="1"/>
    <x v="7"/>
    <s v="Thay Kan"/>
    <m/>
    <m/>
    <m/>
    <m/>
    <n v="33"/>
    <m/>
    <m/>
    <m/>
    <n v="0"/>
    <n v="0"/>
    <n v="0"/>
    <n v="0"/>
    <n v="0"/>
    <n v="0"/>
    <n v="0"/>
    <n v="0"/>
  </r>
  <r>
    <d v="2012-12-17T00:00:00.000"/>
    <x v="0"/>
    <m/>
    <x v="1"/>
    <x v="12"/>
    <s v="Taung Paw "/>
    <m/>
    <m/>
    <m/>
    <m/>
    <n v="73"/>
    <m/>
    <m/>
    <m/>
    <n v="0"/>
    <n v="0"/>
    <n v="0"/>
    <n v="0"/>
    <n v="0"/>
    <n v="0"/>
    <n v="0"/>
    <n v="0"/>
  </r>
  <r>
    <d v="2012-12-16T00:00:00.000"/>
    <x v="3"/>
    <s v="UNHCR"/>
    <x v="1"/>
    <x v="6"/>
    <s v="Hmanzi Junction"/>
    <m/>
    <m/>
    <m/>
    <m/>
    <m/>
    <n v="49"/>
    <m/>
    <m/>
    <n v="0"/>
    <n v="0"/>
    <n v="0"/>
    <n v="0"/>
    <n v="0"/>
    <n v="0"/>
    <n v="0"/>
    <n v="0"/>
  </r>
  <r>
    <d v="2012-12-16T00:00:00.000"/>
    <x v="3"/>
    <s v="UNHCR"/>
    <x v="1"/>
    <x v="6"/>
    <s v="Hmanzi Junction"/>
    <m/>
    <m/>
    <m/>
    <m/>
    <m/>
    <n v="11"/>
    <m/>
    <m/>
    <n v="0"/>
    <n v="0"/>
    <n v="0"/>
    <n v="0"/>
    <n v="0"/>
    <n v="0"/>
    <n v="0"/>
    <n v="0"/>
  </r>
  <r>
    <d v="2012-12-15T00:00:00.000"/>
    <x v="0"/>
    <m/>
    <x v="1"/>
    <x v="7"/>
    <s v="San Htoe Tan"/>
    <m/>
    <m/>
    <m/>
    <m/>
    <m/>
    <n v="53"/>
    <m/>
    <m/>
    <n v="0"/>
    <n v="0"/>
    <n v="0"/>
    <n v="0"/>
    <n v="0"/>
    <n v="0"/>
    <n v="0"/>
    <n v="0"/>
  </r>
  <r>
    <d v="2012-12-15T00:00:00.000"/>
    <x v="0"/>
    <m/>
    <x v="1"/>
    <x v="7"/>
    <s v="Nagara Pauktaw"/>
    <m/>
    <m/>
    <m/>
    <m/>
    <m/>
    <n v="156"/>
    <m/>
    <m/>
    <n v="0"/>
    <n v="0"/>
    <n v="0"/>
    <n v="0"/>
    <n v="0"/>
    <n v="0"/>
    <n v="0"/>
    <n v="0"/>
  </r>
  <r>
    <d v="2012-12-15T00:00:00.000"/>
    <x v="0"/>
    <m/>
    <x v="1"/>
    <x v="7"/>
    <s v="Tha Yet Oak"/>
    <m/>
    <m/>
    <m/>
    <m/>
    <m/>
    <n v="35"/>
    <m/>
    <m/>
    <n v="0"/>
    <n v="0"/>
    <n v="0"/>
    <n v="0"/>
    <n v="0"/>
    <n v="0"/>
    <n v="0"/>
    <n v="0"/>
  </r>
  <r>
    <d v="2012-12-15T00:00:00.000"/>
    <x v="0"/>
    <m/>
    <x v="1"/>
    <x v="7"/>
    <s v="Aung Taing"/>
    <m/>
    <m/>
    <m/>
    <m/>
    <m/>
    <n v="65"/>
    <m/>
    <m/>
    <n v="0"/>
    <n v="0"/>
    <n v="0"/>
    <n v="0"/>
    <n v="0"/>
    <n v="0"/>
    <n v="0"/>
    <n v="0"/>
  </r>
  <r>
    <d v="2012-12-15T00:00:00.000"/>
    <x v="0"/>
    <m/>
    <x v="1"/>
    <x v="7"/>
    <s v="Sam Ba Le"/>
    <m/>
    <m/>
    <m/>
    <m/>
    <m/>
    <n v="109"/>
    <m/>
    <m/>
    <n v="0"/>
    <n v="0"/>
    <n v="0"/>
    <n v="0"/>
    <n v="0"/>
    <n v="0"/>
    <n v="0"/>
    <n v="0"/>
  </r>
  <r>
    <d v="2012-12-15T00:00:00.000"/>
    <x v="0"/>
    <m/>
    <x v="1"/>
    <x v="5"/>
    <s v="Pa Rein"/>
    <m/>
    <m/>
    <m/>
    <m/>
    <m/>
    <n v="240"/>
    <m/>
    <m/>
    <n v="0"/>
    <n v="0"/>
    <n v="0"/>
    <n v="0"/>
    <n v="0"/>
    <n v="0"/>
    <n v="0"/>
    <n v="0"/>
  </r>
  <r>
    <d v="2012-12-15T00:00:00.000"/>
    <x v="0"/>
    <m/>
    <x v="1"/>
    <x v="5"/>
    <s v="Yai Thei-Muslim"/>
    <m/>
    <m/>
    <m/>
    <m/>
    <m/>
    <n v="260"/>
    <m/>
    <m/>
    <n v="0"/>
    <n v="0"/>
    <n v="0"/>
    <n v="0"/>
    <n v="0"/>
    <n v="0"/>
    <n v="0"/>
    <n v="0"/>
  </r>
  <r>
    <d v="2012-12-14T00:00:00.000"/>
    <x v="3"/>
    <s v="UNHCR"/>
    <x v="1"/>
    <x v="6"/>
    <s v="Hmanzi Junction"/>
    <m/>
    <m/>
    <m/>
    <m/>
    <m/>
    <n v="55"/>
    <m/>
    <m/>
    <n v="0"/>
    <n v="0"/>
    <n v="0"/>
    <n v="0"/>
    <n v="0"/>
    <n v="0"/>
    <n v="0"/>
    <n v="0"/>
  </r>
  <r>
    <d v="2012-12-13T00:00:00.000"/>
    <x v="0"/>
    <m/>
    <x v="1"/>
    <x v="6"/>
    <s v="Thet Kae Pyin "/>
    <m/>
    <m/>
    <n v="1900"/>
    <m/>
    <m/>
    <m/>
    <m/>
    <m/>
    <n v="0"/>
    <n v="0"/>
    <n v="0"/>
    <n v="0"/>
    <n v="0"/>
    <n v="0"/>
    <n v="0"/>
    <n v="0"/>
  </r>
  <r>
    <d v="2012-12-13T00:00:00.000"/>
    <x v="0"/>
    <m/>
    <x v="1"/>
    <x v="6"/>
    <s v="Khaung Doke Khar "/>
    <m/>
    <m/>
    <n v="310"/>
    <m/>
    <m/>
    <m/>
    <m/>
    <m/>
    <n v="0"/>
    <n v="0"/>
    <n v="0"/>
    <n v="0"/>
    <n v="0"/>
    <n v="0"/>
    <n v="0"/>
    <n v="0"/>
  </r>
  <r>
    <d v="2012-12-13T00:00:00.000"/>
    <x v="0"/>
    <m/>
    <x v="1"/>
    <x v="6"/>
    <s v="Dar Pai"/>
    <m/>
    <m/>
    <n v="1707"/>
    <m/>
    <m/>
    <m/>
    <m/>
    <m/>
    <n v="0"/>
    <n v="0"/>
    <n v="0"/>
    <n v="0"/>
    <n v="0"/>
    <n v="0"/>
    <n v="0"/>
    <n v="0"/>
  </r>
  <r>
    <d v="2012-12-13T00:00:00.000"/>
    <x v="0"/>
    <m/>
    <x v="1"/>
    <x v="6"/>
    <s v="Thae Chaung"/>
    <m/>
    <m/>
    <n v="2813"/>
    <m/>
    <m/>
    <m/>
    <m/>
    <m/>
    <n v="0"/>
    <n v="0"/>
    <n v="0"/>
    <n v="0"/>
    <n v="0"/>
    <n v="0"/>
    <n v="0"/>
    <n v="0"/>
  </r>
  <r>
    <d v="2012-12-13T00:00:00.000"/>
    <x v="0"/>
    <m/>
    <x v="1"/>
    <x v="6"/>
    <s v="Say Tha Mar Gyi"/>
    <m/>
    <m/>
    <n v="1460"/>
    <m/>
    <m/>
    <m/>
    <m/>
    <m/>
    <n v="0"/>
    <n v="0"/>
    <n v="0"/>
    <n v="0"/>
    <n v="0"/>
    <n v="0"/>
    <n v="0"/>
    <n v="0"/>
  </r>
  <r>
    <d v="2012-12-13T00:00:00.000"/>
    <x v="0"/>
    <m/>
    <x v="1"/>
    <x v="6"/>
    <s v="Phwe Yar Kone"/>
    <m/>
    <m/>
    <n v="374"/>
    <m/>
    <m/>
    <m/>
    <m/>
    <m/>
    <n v="0"/>
    <n v="0"/>
    <n v="0"/>
    <n v="0"/>
    <n v="0"/>
    <n v="0"/>
    <n v="0"/>
    <n v="0"/>
  </r>
  <r>
    <d v="2012-12-13T00:00:00.000"/>
    <x v="0"/>
    <m/>
    <x v="1"/>
    <x v="6"/>
    <s v="Baw Du Pha"/>
    <m/>
    <m/>
    <n v="2142"/>
    <m/>
    <m/>
    <m/>
    <m/>
    <m/>
    <n v="0"/>
    <n v="0"/>
    <n v="0"/>
    <n v="0"/>
    <n v="0"/>
    <n v="0"/>
    <n v="0"/>
    <n v="0"/>
  </r>
  <r>
    <d v="2012-12-13T00:00:00.000"/>
    <x v="0"/>
    <m/>
    <x v="1"/>
    <x v="6"/>
    <s v="Ohn Taw Gyi 1"/>
    <m/>
    <m/>
    <n v="65"/>
    <m/>
    <m/>
    <m/>
    <m/>
    <m/>
    <n v="0"/>
    <n v="0"/>
    <n v="0"/>
    <n v="0"/>
    <n v="0"/>
    <n v="0"/>
    <n v="0"/>
    <n v="0"/>
  </r>
  <r>
    <d v="2012-12-13T00:00:00.000"/>
    <x v="0"/>
    <m/>
    <x v="1"/>
    <x v="6"/>
    <s v="Basare"/>
    <m/>
    <m/>
    <n v="302"/>
    <m/>
    <m/>
    <m/>
    <m/>
    <m/>
    <n v="0"/>
    <n v="0"/>
    <n v="0"/>
    <n v="0"/>
    <n v="0"/>
    <n v="0"/>
    <n v="0"/>
    <n v="0"/>
  </r>
  <r>
    <d v="2012-12-13T00:00:00.000"/>
    <x v="0"/>
    <m/>
    <x v="1"/>
    <x v="11"/>
    <s v="Let Saung Kauk"/>
    <m/>
    <m/>
    <m/>
    <m/>
    <m/>
    <n v="18"/>
    <m/>
    <m/>
    <n v="0"/>
    <n v="0"/>
    <n v="0"/>
    <n v="0"/>
    <n v="0"/>
    <n v="0"/>
    <n v="0"/>
    <n v="0"/>
  </r>
  <r>
    <d v="2012-12-13T00:00:00.000"/>
    <x v="0"/>
    <m/>
    <x v="1"/>
    <x v="11"/>
    <s v="Ah Lel"/>
    <m/>
    <m/>
    <m/>
    <m/>
    <m/>
    <n v="87"/>
    <m/>
    <m/>
    <n v="0"/>
    <n v="0"/>
    <n v="0"/>
    <n v="0"/>
    <n v="0"/>
    <n v="0"/>
    <n v="0"/>
    <n v="0"/>
  </r>
  <r>
    <d v="2012-12-13T00:00:00.000"/>
    <x v="0"/>
    <m/>
    <x v="1"/>
    <x v="11"/>
    <s v="In Bar Yi"/>
    <m/>
    <m/>
    <m/>
    <m/>
    <m/>
    <n v="60"/>
    <m/>
    <m/>
    <n v="0"/>
    <n v="0"/>
    <n v="0"/>
    <n v="0"/>
    <n v="0"/>
    <n v="0"/>
    <n v="0"/>
    <n v="0"/>
  </r>
  <r>
    <d v="2012-12-13T00:00:00.000"/>
    <x v="0"/>
    <m/>
    <x v="1"/>
    <x v="11"/>
    <s v="Goke Pi Htaunt"/>
    <m/>
    <m/>
    <m/>
    <m/>
    <m/>
    <n v="86"/>
    <m/>
    <m/>
    <n v="0"/>
    <n v="0"/>
    <n v="0"/>
    <n v="0"/>
    <n v="0"/>
    <n v="0"/>
    <n v="0"/>
    <n v="0"/>
  </r>
  <r>
    <d v="2012-12-13T00:00:00.000"/>
    <x v="0"/>
    <m/>
    <x v="1"/>
    <x v="11"/>
    <s v="Ah Pauk Wa "/>
    <m/>
    <m/>
    <m/>
    <m/>
    <m/>
    <n v="90"/>
    <m/>
    <m/>
    <n v="0"/>
    <n v="0"/>
    <n v="0"/>
    <n v="0"/>
    <n v="0"/>
    <n v="0"/>
    <n v="0"/>
    <n v="0"/>
  </r>
  <r>
    <d v="2012-12-13T00:00:00.000"/>
    <x v="0"/>
    <m/>
    <x v="1"/>
    <x v="11"/>
    <s v="Yun Nyar"/>
    <m/>
    <m/>
    <m/>
    <m/>
    <m/>
    <n v="57"/>
    <m/>
    <m/>
    <n v="0"/>
    <n v="0"/>
    <n v="0"/>
    <n v="0"/>
    <n v="0"/>
    <n v="0"/>
    <n v="0"/>
    <n v="0"/>
  </r>
  <r>
    <d v="2012-12-13T00:00:00.000"/>
    <x v="0"/>
    <m/>
    <x v="1"/>
    <x v="11"/>
    <s v="Shwe Hlaing"/>
    <m/>
    <m/>
    <m/>
    <m/>
    <m/>
    <n v="128"/>
    <m/>
    <m/>
    <n v="0"/>
    <n v="0"/>
    <n v="0"/>
    <n v="0"/>
    <n v="0"/>
    <n v="0"/>
    <n v="0"/>
    <n v="0"/>
  </r>
  <r>
    <d v="2012-12-13T00:00:00.000"/>
    <x v="0"/>
    <m/>
    <x v="1"/>
    <x v="11"/>
    <m/>
    <m/>
    <m/>
    <m/>
    <m/>
    <m/>
    <n v="21"/>
    <m/>
    <m/>
    <n v="0"/>
    <n v="0"/>
    <n v="0"/>
    <n v="0"/>
    <n v="0"/>
    <n v="0"/>
    <n v="0"/>
    <n v="0"/>
  </r>
  <r>
    <d v="2012-12-13T00:00:00.000"/>
    <x v="0"/>
    <m/>
    <x v="1"/>
    <x v="7"/>
    <s v="Paik Thay"/>
    <m/>
    <m/>
    <m/>
    <m/>
    <m/>
    <n v="2"/>
    <m/>
    <m/>
    <n v="0"/>
    <n v="0"/>
    <n v="0"/>
    <n v="0"/>
    <n v="0"/>
    <n v="0"/>
    <n v="0"/>
    <n v="0"/>
  </r>
  <r>
    <d v="2012-12-13T00:00:00.000"/>
    <x v="0"/>
    <m/>
    <x v="1"/>
    <x v="7"/>
    <s v="Tha Dar"/>
    <m/>
    <m/>
    <m/>
    <m/>
    <m/>
    <n v="153"/>
    <m/>
    <m/>
    <n v="0"/>
    <n v="0"/>
    <n v="0"/>
    <n v="0"/>
    <n v="0"/>
    <n v="0"/>
    <n v="0"/>
    <n v="0"/>
  </r>
  <r>
    <d v="2012-12-12T00:00:00.000"/>
    <x v="0"/>
    <m/>
    <x v="1"/>
    <x v="6"/>
    <s v="Ma Gyi Myaing"/>
    <m/>
    <m/>
    <n v="85"/>
    <m/>
    <m/>
    <m/>
    <m/>
    <m/>
    <n v="0"/>
    <n v="0"/>
    <n v="0"/>
    <n v="0"/>
    <n v="0"/>
    <n v="0"/>
    <n v="0"/>
    <n v="0"/>
  </r>
  <r>
    <d v="2012-12-12T00:00:00.000"/>
    <x v="0"/>
    <m/>
    <x v="1"/>
    <x v="6"/>
    <s v="Set Yone Su"/>
    <m/>
    <m/>
    <n v="195"/>
    <m/>
    <m/>
    <m/>
    <m/>
    <m/>
    <n v="0"/>
    <n v="0"/>
    <n v="0"/>
    <n v="0"/>
    <n v="0"/>
    <n v="0"/>
    <n v="0"/>
    <n v="0"/>
  </r>
  <r>
    <d v="2012-12-12T00:00:00.000"/>
    <x v="0"/>
    <m/>
    <x v="1"/>
    <x v="6"/>
    <s v="Mingan"/>
    <m/>
    <m/>
    <n v="53"/>
    <m/>
    <m/>
    <m/>
    <m/>
    <m/>
    <n v="0"/>
    <n v="0"/>
    <n v="0"/>
    <n v="0"/>
    <n v="0"/>
    <n v="0"/>
    <n v="0"/>
    <n v="0"/>
  </r>
  <r>
    <d v="2012-12-12T00:00:00.000"/>
    <x v="3"/>
    <s v="UNHCR"/>
    <x v="1"/>
    <x v="6"/>
    <s v="Hmanzi Junction"/>
    <m/>
    <m/>
    <m/>
    <m/>
    <m/>
    <n v="50"/>
    <m/>
    <m/>
    <n v="0"/>
    <n v="0"/>
    <n v="0"/>
    <n v="0"/>
    <n v="0"/>
    <n v="0"/>
    <n v="0"/>
    <n v="0"/>
  </r>
  <r>
    <d v="2012-12-05T00:00:00.000"/>
    <x v="3"/>
    <s v="UNHCR"/>
    <x v="1"/>
    <x v="6"/>
    <s v="Hmanzi Junction"/>
    <m/>
    <m/>
    <m/>
    <m/>
    <m/>
    <n v="50"/>
    <m/>
    <m/>
    <n v="0"/>
    <n v="0"/>
    <n v="0"/>
    <n v="0"/>
    <n v="0"/>
    <n v="0"/>
    <n v="0"/>
    <n v="0"/>
  </r>
  <r>
    <d v="2012-12-03T00:00:00.000"/>
    <x v="3"/>
    <s v="UNHCR"/>
    <x v="1"/>
    <x v="6"/>
    <s v="Thet Kae Pyin "/>
    <m/>
    <m/>
    <m/>
    <m/>
    <m/>
    <n v="92"/>
    <m/>
    <m/>
    <n v="0"/>
    <n v="0"/>
    <n v="0"/>
    <n v="0"/>
    <n v="0"/>
    <n v="0"/>
    <n v="0"/>
    <n v="0"/>
  </r>
  <r>
    <d v="2012-11-30T00:00:00.000"/>
    <x v="3"/>
    <s v="UNHCR"/>
    <x v="1"/>
    <x v="6"/>
    <s v="Thet Kae Pyin "/>
    <m/>
    <m/>
    <m/>
    <m/>
    <m/>
    <n v="100"/>
    <m/>
    <m/>
    <n v="0"/>
    <n v="0"/>
    <n v="0"/>
    <n v="0"/>
    <n v="0"/>
    <n v="0"/>
    <n v="0"/>
    <n v="0"/>
  </r>
  <r>
    <d v="2012-11-30T00:00:00.000"/>
    <x v="0"/>
    <m/>
    <x v="1"/>
    <x v="12"/>
    <s v="Taung Paw "/>
    <m/>
    <m/>
    <m/>
    <m/>
    <n v="232"/>
    <m/>
    <m/>
    <m/>
    <n v="0"/>
    <n v="0"/>
    <n v="0"/>
    <n v="0"/>
    <n v="0"/>
    <n v="0"/>
    <n v="0"/>
    <n v="0"/>
  </r>
  <r>
    <d v="2012-11-30T00:00:00.000"/>
    <x v="0"/>
    <m/>
    <x v="1"/>
    <x v="12"/>
    <s v="Kan Thar Htwat Wa"/>
    <m/>
    <m/>
    <m/>
    <m/>
    <n v="44"/>
    <m/>
    <m/>
    <m/>
    <n v="0"/>
    <n v="0"/>
    <n v="0"/>
    <n v="0"/>
    <n v="0"/>
    <n v="0"/>
    <n v="0"/>
    <n v="0"/>
  </r>
  <r>
    <d v="2012-11-30T00:00:00.000"/>
    <x v="0"/>
    <m/>
    <x v="1"/>
    <x v="6"/>
    <s v="Bu May Ohn Taw"/>
    <m/>
    <m/>
    <m/>
    <m/>
    <n v="130"/>
    <m/>
    <m/>
    <m/>
    <n v="0"/>
    <n v="0"/>
    <n v="0"/>
    <n v="0"/>
    <n v="0"/>
    <n v="0"/>
    <n v="0"/>
    <n v="0"/>
  </r>
  <r>
    <d v="2012-11-30T00:00:00.000"/>
    <x v="0"/>
    <m/>
    <x v="1"/>
    <x v="6"/>
    <s v="Pa Lin Pyin Ywar Thit"/>
    <m/>
    <m/>
    <m/>
    <m/>
    <n v="822"/>
    <m/>
    <m/>
    <m/>
    <n v="0"/>
    <n v="0"/>
    <n v="0"/>
    <n v="0"/>
    <n v="0"/>
    <n v="0"/>
    <n v="0"/>
    <n v="0"/>
  </r>
  <r>
    <d v="2012-11-30T00:00:00.000"/>
    <x v="0"/>
    <m/>
    <x v="1"/>
    <x v="6"/>
    <s v="Bu May Ohn Taw"/>
    <m/>
    <m/>
    <m/>
    <m/>
    <n v="314"/>
    <m/>
    <m/>
    <m/>
    <n v="0"/>
    <n v="0"/>
    <n v="0"/>
    <n v="0"/>
    <n v="0"/>
    <n v="0"/>
    <n v="0"/>
    <n v="0"/>
  </r>
  <r>
    <d v="2012-11-30T00:00:00.000"/>
    <x v="0"/>
    <m/>
    <x v="1"/>
    <x v="7"/>
    <s v="Aung Taing"/>
    <m/>
    <m/>
    <m/>
    <m/>
    <n v="46"/>
    <m/>
    <m/>
    <m/>
    <n v="0"/>
    <n v="0"/>
    <n v="0"/>
    <n v="0"/>
    <n v="0"/>
    <n v="0"/>
    <n v="0"/>
    <n v="0"/>
  </r>
  <r>
    <d v="2012-11-21T00:00:00.000"/>
    <x v="0"/>
    <m/>
    <x v="1"/>
    <x v="7"/>
    <s v="Tha Dar"/>
    <m/>
    <m/>
    <m/>
    <m/>
    <n v="145"/>
    <m/>
    <m/>
    <m/>
    <n v="0"/>
    <n v="0"/>
    <n v="0"/>
    <n v="0"/>
    <n v="0"/>
    <n v="0"/>
    <n v="0"/>
    <n v="0"/>
  </r>
  <r>
    <d v="2012-11-21T00:00:00.000"/>
    <x v="0"/>
    <m/>
    <x v="1"/>
    <x v="7"/>
    <s v="San Htoe Tan"/>
    <m/>
    <m/>
    <m/>
    <m/>
    <n v="10"/>
    <m/>
    <m/>
    <m/>
    <n v="0"/>
    <n v="0"/>
    <n v="0"/>
    <n v="0"/>
    <n v="0"/>
    <n v="0"/>
    <n v="0"/>
    <n v="0"/>
  </r>
  <r>
    <d v="2012-11-21T00:00:00.000"/>
    <x v="0"/>
    <m/>
    <x v="1"/>
    <x v="7"/>
    <s v="Nagara Pauktaw"/>
    <m/>
    <m/>
    <m/>
    <m/>
    <n v="129"/>
    <m/>
    <m/>
    <m/>
    <n v="0"/>
    <n v="0"/>
    <n v="0"/>
    <n v="0"/>
    <n v="0"/>
    <n v="0"/>
    <n v="0"/>
    <n v="0"/>
  </r>
  <r>
    <d v="2012-11-21T00:00:00.000"/>
    <x v="0"/>
    <m/>
    <x v="1"/>
    <x v="7"/>
    <s v="Sam Ba Le"/>
    <m/>
    <m/>
    <m/>
    <m/>
    <n v="2"/>
    <m/>
    <m/>
    <m/>
    <n v="0"/>
    <n v="0"/>
    <n v="0"/>
    <n v="0"/>
    <n v="0"/>
    <n v="0"/>
    <n v="0"/>
    <n v="0"/>
  </r>
  <r>
    <d v="2012-11-21T00:00:00.000"/>
    <x v="0"/>
    <m/>
    <x v="1"/>
    <x v="5"/>
    <s v="Pa Rein"/>
    <m/>
    <m/>
    <m/>
    <m/>
    <n v="140"/>
    <m/>
    <m/>
    <m/>
    <n v="0"/>
    <n v="0"/>
    <n v="0"/>
    <n v="0"/>
    <n v="0"/>
    <n v="0"/>
    <n v="0"/>
    <n v="0"/>
  </r>
  <r>
    <d v="2012-11-21T00:00:00.000"/>
    <x v="0"/>
    <m/>
    <x v="1"/>
    <x v="5"/>
    <s v="Yai Thei-Muslim"/>
    <m/>
    <m/>
    <m/>
    <m/>
    <n v="83"/>
    <m/>
    <m/>
    <m/>
    <n v="0"/>
    <n v="0"/>
    <n v="0"/>
    <n v="0"/>
    <n v="0"/>
    <n v="0"/>
    <n v="0"/>
    <n v="0"/>
  </r>
  <r>
    <d v="2012-11-19T00:00:00.000"/>
    <x v="0"/>
    <m/>
    <x v="1"/>
    <x v="8"/>
    <s v="Ah Nauk Ywe"/>
    <m/>
    <m/>
    <m/>
    <m/>
    <n v="458"/>
    <m/>
    <m/>
    <m/>
    <n v="0"/>
    <n v="0"/>
    <n v="0"/>
    <n v="0"/>
    <n v="0"/>
    <n v="0"/>
    <n v="0"/>
    <n v="0"/>
  </r>
  <r>
    <d v="2012-11-19T00:00:00.000"/>
    <x v="0"/>
    <m/>
    <x v="1"/>
    <x v="8"/>
    <s v="Nget Chaung"/>
    <m/>
    <m/>
    <m/>
    <m/>
    <n v="506"/>
    <m/>
    <m/>
    <m/>
    <n v="0"/>
    <n v="0"/>
    <n v="0"/>
    <n v="0"/>
    <n v="0"/>
    <n v="0"/>
    <n v="0"/>
    <n v="0"/>
  </r>
  <r>
    <d v="2012-11-19T00:00:00.000"/>
    <x v="0"/>
    <m/>
    <x v="1"/>
    <x v="8"/>
    <s v="Kyein Ni Pyin"/>
    <m/>
    <m/>
    <m/>
    <m/>
    <n v="369"/>
    <m/>
    <m/>
    <m/>
    <n v="0"/>
    <n v="0"/>
    <n v="0"/>
    <n v="0"/>
    <n v="0"/>
    <n v="0"/>
    <n v="0"/>
    <n v="0"/>
  </r>
  <r>
    <d v="2012-11-19T00:00:00.000"/>
    <x v="0"/>
    <m/>
    <x v="1"/>
    <x v="8"/>
    <s v="Sin Tet Maw"/>
    <m/>
    <m/>
    <m/>
    <m/>
    <n v="362"/>
    <m/>
    <m/>
    <m/>
    <n v="0"/>
    <n v="0"/>
    <n v="0"/>
    <n v="0"/>
    <n v="0"/>
    <n v="0"/>
    <n v="0"/>
    <n v="0"/>
  </r>
  <r>
    <d v="2012-11-03T00:00:00.000"/>
    <x v="0"/>
    <m/>
    <x v="1"/>
    <x v="8"/>
    <m/>
    <m/>
    <m/>
    <m/>
    <m/>
    <n v="500"/>
    <m/>
    <m/>
    <m/>
    <n v="0"/>
    <n v="0"/>
    <n v="0"/>
    <n v="0"/>
    <n v="0"/>
    <n v="0"/>
    <n v="0"/>
    <n v="0"/>
  </r>
  <r>
    <d v="2012-11-03T00:00:00.000"/>
    <x v="0"/>
    <m/>
    <x v="1"/>
    <x v="8"/>
    <s v="Sin Tet Maw"/>
    <m/>
    <m/>
    <m/>
    <m/>
    <n v="500"/>
    <m/>
    <m/>
    <m/>
    <n v="0"/>
    <n v="0"/>
    <n v="0"/>
    <n v="0"/>
    <n v="0"/>
    <n v="0"/>
    <n v="0"/>
    <n v="0"/>
  </r>
  <r>
    <d v="2012-11-02T00:00:00.000"/>
    <x v="0"/>
    <m/>
    <x v="1"/>
    <x v="11"/>
    <m/>
    <m/>
    <m/>
    <m/>
    <m/>
    <n v="99"/>
    <m/>
    <m/>
    <m/>
    <n v="0"/>
    <n v="0"/>
    <n v="0"/>
    <n v="0"/>
    <n v="0"/>
    <n v="0"/>
    <n v="0"/>
    <n v="0"/>
  </r>
  <r>
    <d v="2012-11-01T00:00:00.000"/>
    <x v="0"/>
    <m/>
    <x v="1"/>
    <x v="12"/>
    <s v="Taung Paw "/>
    <m/>
    <m/>
    <m/>
    <m/>
    <n v="400"/>
    <m/>
    <m/>
    <m/>
    <n v="0"/>
    <n v="0"/>
    <n v="0"/>
    <n v="0"/>
    <n v="0"/>
    <n v="0"/>
    <n v="0"/>
    <n v="0"/>
  </r>
  <r>
    <d v="2012-10-31T00:00:00.000"/>
    <x v="0"/>
    <m/>
    <x v="1"/>
    <x v="7"/>
    <s v="Nagara Pauktaw"/>
    <m/>
    <m/>
    <m/>
    <m/>
    <n v="100"/>
    <m/>
    <m/>
    <m/>
    <n v="0"/>
    <n v="0"/>
    <n v="0"/>
    <n v="0"/>
    <n v="0"/>
    <n v="0"/>
    <n v="0"/>
    <n v="0"/>
  </r>
  <r>
    <d v="2012-10-31T00:00:00.000"/>
    <x v="0"/>
    <m/>
    <x v="1"/>
    <x v="5"/>
    <s v="Pa Rein"/>
    <m/>
    <m/>
    <m/>
    <m/>
    <n v="100"/>
    <m/>
    <m/>
    <m/>
    <n v="0"/>
    <n v="0"/>
    <n v="0"/>
    <n v="0"/>
    <n v="0"/>
    <n v="0"/>
    <n v="0"/>
    <n v="0"/>
  </r>
  <r>
    <d v="2012-10-31T00:00:00.000"/>
    <x v="0"/>
    <m/>
    <x v="1"/>
    <x v="7"/>
    <s v="Aung Taing"/>
    <m/>
    <m/>
    <m/>
    <m/>
    <n v="40"/>
    <m/>
    <m/>
    <m/>
    <n v="0"/>
    <n v="0"/>
    <n v="0"/>
    <n v="0"/>
    <n v="0"/>
    <n v="0"/>
    <n v="0"/>
    <n v="0"/>
  </r>
  <r>
    <d v="2012-10-07T00:00:00.000"/>
    <x v="0"/>
    <m/>
    <x v="1"/>
    <x v="11"/>
    <s v="Ah Pauk Wa "/>
    <m/>
    <m/>
    <m/>
    <m/>
    <n v="85"/>
    <m/>
    <m/>
    <m/>
    <n v="0"/>
    <n v="0"/>
    <n v="0"/>
    <n v="0"/>
    <n v="0"/>
    <n v="0"/>
    <n v="0"/>
    <n v="0"/>
  </r>
  <r>
    <d v="2012-10-07T00:00:00.000"/>
    <x v="0"/>
    <m/>
    <x v="1"/>
    <x v="11"/>
    <s v="San Gar Taung"/>
    <m/>
    <m/>
    <m/>
    <m/>
    <n v="97"/>
    <m/>
    <m/>
    <m/>
    <n v="0"/>
    <n v="0"/>
    <n v="0"/>
    <n v="0"/>
    <n v="0"/>
    <n v="0"/>
    <n v="0"/>
    <n v="0"/>
  </r>
  <r>
    <d v="2012-10-06T00:00:00.000"/>
    <x v="0"/>
    <m/>
    <x v="1"/>
    <x v="6"/>
    <s v="Thet Kay Pyin School"/>
    <m/>
    <m/>
    <m/>
    <m/>
    <n v="100"/>
    <m/>
    <m/>
    <m/>
    <n v="0"/>
    <n v="0"/>
    <n v="0"/>
    <n v="0"/>
    <n v="0"/>
    <n v="0"/>
    <n v="0"/>
    <n v="0"/>
  </r>
  <r>
    <d v="2012-09-07T00:00:00.000"/>
    <x v="0"/>
    <m/>
    <x v="1"/>
    <x v="6"/>
    <s v="Baw Du Pha"/>
    <m/>
    <m/>
    <m/>
    <m/>
    <n v="55"/>
    <m/>
    <m/>
    <m/>
    <n v="0"/>
    <n v="0"/>
    <n v="0"/>
    <n v="0"/>
    <n v="0"/>
    <n v="0"/>
    <n v="0"/>
    <n v="0"/>
  </r>
  <r>
    <d v="2012-09-05T00:00:00.000"/>
    <x v="0"/>
    <m/>
    <x v="1"/>
    <x v="6"/>
    <s v="Baw Du Pha"/>
    <m/>
    <m/>
    <m/>
    <m/>
    <m/>
    <n v="65"/>
    <m/>
    <m/>
    <n v="0"/>
    <n v="0"/>
    <n v="0"/>
    <n v="0"/>
    <n v="0"/>
    <n v="0"/>
    <n v="0"/>
    <n v="0"/>
  </r>
  <r>
    <d v="2012-09-01T00:00:00.000"/>
    <x v="3"/>
    <s v="UNHCR"/>
    <x v="1"/>
    <x v="6"/>
    <s v="Ohn Taw Gyi 1"/>
    <m/>
    <m/>
    <m/>
    <m/>
    <m/>
    <n v="60"/>
    <m/>
    <m/>
    <n v="0"/>
    <n v="0"/>
    <n v="0"/>
    <n v="0"/>
    <n v="0"/>
    <n v="0"/>
    <n v="0"/>
    <n v="0"/>
  </r>
  <r>
    <d v="2012-08-25T00:00:00.000"/>
    <x v="0"/>
    <m/>
    <x v="1"/>
    <x v="11"/>
    <s v="In Bar Yi"/>
    <m/>
    <m/>
    <m/>
    <m/>
    <n v="230"/>
    <m/>
    <m/>
    <m/>
    <n v="0"/>
    <n v="0"/>
    <n v="0"/>
    <n v="0"/>
    <n v="0"/>
    <n v="0"/>
    <n v="0"/>
    <n v="0"/>
  </r>
  <r>
    <d v="2012-08-25T00:00:00.000"/>
    <x v="0"/>
    <m/>
    <x v="1"/>
    <x v="11"/>
    <s v="Yun Nyar"/>
    <m/>
    <m/>
    <m/>
    <m/>
    <n v="107"/>
    <m/>
    <m/>
    <m/>
    <n v="0"/>
    <n v="0"/>
    <n v="0"/>
    <n v="0"/>
    <n v="0"/>
    <n v="0"/>
    <n v="0"/>
    <n v="0"/>
  </r>
  <r>
    <d v="2012-08-25T00:00:00.000"/>
    <x v="0"/>
    <m/>
    <x v="1"/>
    <x v="11"/>
    <s v="Shwe Hlaing"/>
    <m/>
    <m/>
    <m/>
    <m/>
    <n v="144"/>
    <m/>
    <m/>
    <m/>
    <n v="0"/>
    <n v="0"/>
    <n v="0"/>
    <n v="0"/>
    <n v="0"/>
    <n v="0"/>
    <n v="0"/>
    <n v="0"/>
  </r>
  <r>
    <d v="2012-08-25T00:00:00.000"/>
    <x v="0"/>
    <m/>
    <x v="1"/>
    <x v="11"/>
    <s v="Goke Pi Htaunt"/>
    <m/>
    <m/>
    <m/>
    <m/>
    <n v="114"/>
    <m/>
    <m/>
    <m/>
    <n v="0"/>
    <n v="0"/>
    <n v="0"/>
    <n v="0"/>
    <n v="0"/>
    <n v="0"/>
    <n v="0"/>
    <n v="0"/>
  </r>
  <r>
    <d v="2012-08-23T00:00:00.000"/>
    <x v="0"/>
    <m/>
    <x v="1"/>
    <x v="6"/>
    <s v="Dar Pai"/>
    <m/>
    <m/>
    <m/>
    <m/>
    <n v="805"/>
    <m/>
    <m/>
    <m/>
    <n v="0"/>
    <n v="0"/>
    <n v="0"/>
    <n v="0"/>
    <n v="0"/>
    <n v="0"/>
    <n v="0"/>
    <n v="0"/>
  </r>
  <r>
    <d v="2012-08-05T00:00:00.000"/>
    <x v="0"/>
    <m/>
    <x v="1"/>
    <x v="6"/>
    <s v="Thet Kae Pyin "/>
    <m/>
    <m/>
    <m/>
    <m/>
    <n v="98"/>
    <m/>
    <m/>
    <m/>
    <n v="0"/>
    <n v="0"/>
    <n v="0"/>
    <n v="0"/>
    <n v="0"/>
    <n v="0"/>
    <n v="0"/>
    <n v="0"/>
  </r>
  <r>
    <d v="2012-07-30T00:00:00.000"/>
    <x v="0"/>
    <m/>
    <x v="1"/>
    <x v="6"/>
    <s v="Say Tha Mar Gyi"/>
    <m/>
    <m/>
    <m/>
    <m/>
    <n v="461"/>
    <m/>
    <m/>
    <m/>
    <n v="0"/>
    <n v="0"/>
    <n v="0"/>
    <n v="0"/>
    <n v="0"/>
    <n v="0"/>
    <n v="0"/>
    <n v="0"/>
  </r>
  <r>
    <d v="2012-07-30T00:00:00.000"/>
    <x v="0"/>
    <m/>
    <x v="1"/>
    <x v="6"/>
    <s v="Thet Kae Pyin "/>
    <m/>
    <m/>
    <m/>
    <m/>
    <n v="11"/>
    <m/>
    <m/>
    <m/>
    <n v="0"/>
    <n v="0"/>
    <n v="0"/>
    <n v="0"/>
    <n v="0"/>
    <n v="0"/>
    <n v="0"/>
    <n v="0"/>
  </r>
  <r>
    <d v="2012-07-29T00:00:00.000"/>
    <x v="0"/>
    <m/>
    <x v="1"/>
    <x v="6"/>
    <s v="Say Tha Mar Gyi"/>
    <m/>
    <m/>
    <m/>
    <m/>
    <n v="456"/>
    <m/>
    <m/>
    <m/>
    <n v="0"/>
    <n v="0"/>
    <n v="0"/>
    <n v="0"/>
    <n v="0"/>
    <n v="0"/>
    <n v="0"/>
    <n v="0"/>
  </r>
  <r>
    <d v="2012-07-29T00:00:00.000"/>
    <x v="0"/>
    <m/>
    <x v="1"/>
    <x v="6"/>
    <s v="Khaung Doke Khar "/>
    <m/>
    <m/>
    <m/>
    <m/>
    <n v="22"/>
    <m/>
    <m/>
    <m/>
    <n v="0"/>
    <n v="0"/>
    <n v="0"/>
    <n v="0"/>
    <n v="0"/>
    <n v="0"/>
    <n v="0"/>
    <n v="0"/>
  </r>
  <r>
    <d v="2012-07-21T00:00:00.000"/>
    <x v="0"/>
    <m/>
    <x v="1"/>
    <x v="6"/>
    <s v="Say Tha Mar Gyi"/>
    <m/>
    <m/>
    <m/>
    <m/>
    <n v="117"/>
    <m/>
    <m/>
    <m/>
    <n v="0"/>
    <n v="0"/>
    <n v="0"/>
    <n v="0"/>
    <n v="0"/>
    <n v="0"/>
    <n v="0"/>
    <n v="0"/>
  </r>
  <r>
    <d v="2012-07-20T00:00:00.000"/>
    <x v="0"/>
    <m/>
    <x v="1"/>
    <x v="6"/>
    <s v="Basare"/>
    <m/>
    <m/>
    <m/>
    <m/>
    <n v="383"/>
    <m/>
    <m/>
    <m/>
    <n v="0"/>
    <n v="0"/>
    <n v="0"/>
    <n v="0"/>
    <n v="0"/>
    <n v="0"/>
    <n v="0"/>
    <n v="0"/>
  </r>
  <r>
    <d v="2012-07-19T00:00:00.000"/>
    <x v="0"/>
    <m/>
    <x v="1"/>
    <x v="6"/>
    <s v="Thet Kae Pyin "/>
    <m/>
    <m/>
    <m/>
    <m/>
    <n v="572"/>
    <m/>
    <m/>
    <m/>
    <n v="0"/>
    <n v="0"/>
    <n v="0"/>
    <n v="0"/>
    <n v="0"/>
    <n v="0"/>
    <n v="0"/>
    <n v="0"/>
  </r>
  <r>
    <d v="2012-07-18T00:00:00.000"/>
    <x v="0"/>
    <m/>
    <x v="1"/>
    <x v="6"/>
    <s v="Baw Du Pha"/>
    <m/>
    <m/>
    <m/>
    <m/>
    <n v="248"/>
    <m/>
    <m/>
    <m/>
    <n v="0"/>
    <n v="0"/>
    <n v="0"/>
    <n v="0"/>
    <n v="0"/>
    <n v="0"/>
    <n v="0"/>
    <n v="0"/>
  </r>
  <r>
    <d v="2012-07-18T00:00:00.000"/>
    <x v="0"/>
    <m/>
    <x v="1"/>
    <x v="6"/>
    <s v="Khaung Doke Khar "/>
    <m/>
    <m/>
    <m/>
    <m/>
    <n v="121"/>
    <m/>
    <m/>
    <m/>
    <n v="0"/>
    <n v="0"/>
    <n v="0"/>
    <n v="0"/>
    <n v="0"/>
    <n v="0"/>
    <n v="0"/>
    <n v="0"/>
  </r>
  <r>
    <d v="2012-07-17T00:00:00.000"/>
    <x v="0"/>
    <m/>
    <x v="1"/>
    <x v="6"/>
    <s v="Baw Du Pha"/>
    <m/>
    <m/>
    <m/>
    <m/>
    <n v="630"/>
    <m/>
    <m/>
    <m/>
    <n v="0"/>
    <n v="0"/>
    <n v="0"/>
    <n v="0"/>
    <n v="0"/>
    <n v="0"/>
    <n v="0"/>
    <n v="0"/>
  </r>
  <r>
    <d v="2012-07-16T00:00:00.000"/>
    <x v="0"/>
    <m/>
    <x v="1"/>
    <x v="6"/>
    <s v="Baw Du Pha"/>
    <m/>
    <m/>
    <m/>
    <m/>
    <n v="120"/>
    <m/>
    <m/>
    <m/>
    <n v="0"/>
    <n v="0"/>
    <n v="0"/>
    <n v="0"/>
    <n v="0"/>
    <n v="0"/>
    <n v="0"/>
    <n v="0"/>
  </r>
  <r>
    <d v="2012-07-15T00:00:00.000"/>
    <x v="0"/>
    <m/>
    <x v="1"/>
    <x v="6"/>
    <s v="Thet Kae Pyin "/>
    <m/>
    <m/>
    <m/>
    <m/>
    <n v="200"/>
    <m/>
    <m/>
    <m/>
    <n v="0"/>
    <n v="0"/>
    <n v="0"/>
    <n v="0"/>
    <n v="0"/>
    <n v="0"/>
    <n v="0"/>
    <n v="0"/>
  </r>
  <r>
    <d v="2012-07-15T00:00:00.000"/>
    <x v="0"/>
    <m/>
    <x v="1"/>
    <x v="6"/>
    <s v="Baw Du Pha"/>
    <m/>
    <m/>
    <m/>
    <m/>
    <n v="150"/>
    <m/>
    <m/>
    <m/>
    <n v="0"/>
    <n v="0"/>
    <n v="0"/>
    <n v="0"/>
    <n v="0"/>
    <n v="0"/>
    <n v="0"/>
    <n v="0"/>
  </r>
  <r>
    <d v="2012-07-12T00:00:00.000"/>
    <x v="0"/>
    <m/>
    <x v="1"/>
    <x v="6"/>
    <s v="Khaymarmandine"/>
    <m/>
    <m/>
    <m/>
    <m/>
    <n v="4"/>
    <m/>
    <m/>
    <m/>
    <n v="0"/>
    <n v="0"/>
    <n v="0"/>
    <n v="0"/>
    <n v="0"/>
    <n v="0"/>
    <n v="0"/>
    <n v="0"/>
  </r>
  <r>
    <d v="2012-07-11T00:00:00.000"/>
    <x v="0"/>
    <m/>
    <x v="1"/>
    <x v="6"/>
    <s v="MinnGanHighSchool"/>
    <m/>
    <m/>
    <m/>
    <m/>
    <n v="492"/>
    <m/>
    <m/>
    <m/>
    <n v="0"/>
    <n v="0"/>
    <n v="0"/>
    <n v="0"/>
    <n v="0"/>
    <n v="0"/>
    <n v="0"/>
    <n v="0"/>
  </r>
  <r>
    <d v="2012-07-10T00:00:00.000"/>
    <x v="0"/>
    <m/>
    <x v="1"/>
    <x v="6"/>
    <s v="DamaYeikThar"/>
    <m/>
    <m/>
    <m/>
    <m/>
    <n v="32"/>
    <m/>
    <m/>
    <m/>
    <n v="0"/>
    <n v="0"/>
    <n v="0"/>
    <n v="0"/>
    <n v="0"/>
    <n v="0"/>
    <n v="0"/>
    <n v="0"/>
  </r>
  <r>
    <d v="2012-07-10T00:00:00.000"/>
    <x v="0"/>
    <m/>
    <x v="1"/>
    <x v="6"/>
    <s v="Weikzar Thaikdi Monastery"/>
    <m/>
    <m/>
    <m/>
    <m/>
    <n v="20"/>
    <m/>
    <m/>
    <m/>
    <n v="0"/>
    <n v="0"/>
    <n v="0"/>
    <n v="0"/>
    <n v="0"/>
    <n v="0"/>
    <n v="0"/>
    <n v="0"/>
  </r>
  <r>
    <d v="2012-07-10T00:00:00.000"/>
    <x v="0"/>
    <m/>
    <x v="1"/>
    <x v="6"/>
    <s v="Tayzindayama"/>
    <m/>
    <m/>
    <m/>
    <m/>
    <n v="11"/>
    <m/>
    <m/>
    <m/>
    <n v="0"/>
    <n v="0"/>
    <n v="0"/>
    <n v="0"/>
    <n v="0"/>
    <n v="0"/>
    <n v="0"/>
    <n v="0"/>
  </r>
  <r>
    <d v="2012-07-10T00:00:00.000"/>
    <x v="0"/>
    <m/>
    <x v="1"/>
    <x v="6"/>
    <s v="OhnTaPin"/>
    <m/>
    <m/>
    <m/>
    <m/>
    <n v="16"/>
    <m/>
    <m/>
    <m/>
    <n v="0"/>
    <n v="0"/>
    <n v="0"/>
    <n v="0"/>
    <n v="0"/>
    <n v="0"/>
    <n v="0"/>
    <n v="0"/>
  </r>
  <r>
    <d v="2012-07-10T00:00:00.000"/>
    <x v="0"/>
    <m/>
    <x v="1"/>
    <x v="6"/>
    <s v="MyaTheinTan"/>
    <m/>
    <m/>
    <m/>
    <m/>
    <n v="5"/>
    <m/>
    <m/>
    <m/>
    <n v="0"/>
    <n v="0"/>
    <n v="0"/>
    <n v="0"/>
    <n v="0"/>
    <n v="0"/>
    <n v="0"/>
    <n v="0"/>
  </r>
  <r>
    <d v="2012-07-10T00:00:00.000"/>
    <x v="0"/>
    <m/>
    <x v="1"/>
    <x v="6"/>
    <s v="YadaNarMinDaing"/>
    <m/>
    <m/>
    <m/>
    <m/>
    <n v="2"/>
    <m/>
    <m/>
    <m/>
    <n v="0"/>
    <n v="0"/>
    <n v="0"/>
    <n v="0"/>
    <n v="0"/>
    <n v="0"/>
    <n v="0"/>
    <n v="0"/>
  </r>
  <r>
    <d v="2012-07-09T00:00:00.000"/>
    <x v="0"/>
    <m/>
    <x v="1"/>
    <x v="6"/>
    <s v="Theit Di Kar Yone Monastery"/>
    <m/>
    <m/>
    <m/>
    <m/>
    <n v="27"/>
    <m/>
    <m/>
    <m/>
    <n v="0"/>
    <n v="0"/>
    <n v="0"/>
    <n v="0"/>
    <n v="0"/>
    <n v="0"/>
    <n v="0"/>
    <n v="0"/>
  </r>
  <r>
    <d v="2012-07-09T00:00:00.000"/>
    <x v="0"/>
    <m/>
    <x v="1"/>
    <x v="6"/>
    <s v="Dama Yar Ma"/>
    <m/>
    <m/>
    <m/>
    <m/>
    <n v="10"/>
    <m/>
    <m/>
    <m/>
    <n v="0"/>
    <n v="0"/>
    <n v="0"/>
    <n v="0"/>
    <n v="0"/>
    <n v="0"/>
    <n v="0"/>
    <n v="0"/>
  </r>
  <r>
    <d v="2012-07-09T00:00:00.000"/>
    <x v="0"/>
    <m/>
    <x v="1"/>
    <x v="6"/>
    <s v="KyaungGyiLan"/>
    <m/>
    <m/>
    <m/>
    <m/>
    <n v="23"/>
    <m/>
    <m/>
    <m/>
    <n v="0"/>
    <n v="0"/>
    <n v="0"/>
    <n v="0"/>
    <n v="0"/>
    <n v="0"/>
    <n v="0"/>
    <n v="0"/>
  </r>
  <r>
    <d v="2012-07-09T00:00:00.000"/>
    <x v="0"/>
    <m/>
    <x v="1"/>
    <x v="6"/>
    <s v="MaYarMaGyi-old"/>
    <m/>
    <m/>
    <m/>
    <m/>
    <n v="36"/>
    <m/>
    <m/>
    <m/>
    <n v="0"/>
    <n v="0"/>
    <n v="0"/>
    <n v="0"/>
    <n v="0"/>
    <n v="0"/>
    <n v="0"/>
    <n v="0"/>
  </r>
  <r>
    <d v="2012-07-09T00:00:00.000"/>
    <x v="0"/>
    <m/>
    <x v="1"/>
    <x v="6"/>
    <s v="PyinNyarLinkarya"/>
    <m/>
    <m/>
    <m/>
    <m/>
    <n v="33"/>
    <m/>
    <m/>
    <m/>
    <n v="0"/>
    <n v="0"/>
    <n v="0"/>
    <n v="0"/>
    <n v="0"/>
    <n v="0"/>
    <n v="0"/>
    <n v="0"/>
  </r>
  <r>
    <d v="2012-07-09T00:00:00.000"/>
    <x v="0"/>
    <m/>
    <x v="1"/>
    <x v="6"/>
    <s v="Kha Maung Taw"/>
    <m/>
    <m/>
    <m/>
    <m/>
    <n v="12"/>
    <m/>
    <m/>
    <m/>
    <n v="0"/>
    <n v="0"/>
    <n v="0"/>
    <n v="0"/>
    <n v="0"/>
    <n v="0"/>
    <n v="0"/>
    <n v="0"/>
  </r>
  <r>
    <d v="2012-07-09T00:00:00.000"/>
    <x v="0"/>
    <m/>
    <x v="1"/>
    <x v="6"/>
    <s v="Ka Yu Chaung"/>
    <m/>
    <m/>
    <m/>
    <m/>
    <n v="26"/>
    <m/>
    <m/>
    <m/>
    <n v="0"/>
    <n v="0"/>
    <n v="0"/>
    <n v="0"/>
    <n v="0"/>
    <n v="0"/>
    <n v="0"/>
    <n v="0"/>
  </r>
  <r>
    <d v="2012-07-09T00:00:00.000"/>
    <x v="0"/>
    <m/>
    <x v="1"/>
    <x v="6"/>
    <s v="Uwa Ya Ma"/>
    <m/>
    <m/>
    <m/>
    <m/>
    <n v="19"/>
    <m/>
    <m/>
    <m/>
    <n v="0"/>
    <n v="0"/>
    <n v="0"/>
    <n v="0"/>
    <n v="0"/>
    <n v="0"/>
    <n v="0"/>
    <n v="0"/>
  </r>
  <r>
    <d v="2012-07-09T00:00:00.000"/>
    <x v="0"/>
    <m/>
    <x v="1"/>
    <x v="6"/>
    <s v="Shwe Pyar"/>
    <m/>
    <m/>
    <m/>
    <m/>
    <n v="3"/>
    <m/>
    <m/>
    <m/>
    <n v="0"/>
    <n v="0"/>
    <n v="0"/>
    <n v="0"/>
    <n v="0"/>
    <n v="0"/>
    <n v="0"/>
    <n v="0"/>
  </r>
  <r>
    <d v="2012-07-09T00:00:00.000"/>
    <x v="0"/>
    <m/>
    <x v="1"/>
    <x v="6"/>
    <s v="Bamgalar A Wa Kune"/>
    <m/>
    <m/>
    <m/>
    <m/>
    <n v="5"/>
    <m/>
    <m/>
    <m/>
    <n v="0"/>
    <n v="0"/>
    <n v="0"/>
    <n v="0"/>
    <n v="0"/>
    <n v="0"/>
    <n v="0"/>
    <n v="0"/>
  </r>
  <r>
    <d v="2012-07-07T00:00:00.000"/>
    <x v="0"/>
    <m/>
    <x v="1"/>
    <x v="6"/>
    <s v="Shwe Zay Ti Monastery"/>
    <m/>
    <m/>
    <m/>
    <m/>
    <n v="201"/>
    <m/>
    <m/>
    <m/>
    <n v="0"/>
    <n v="0"/>
    <n v="0"/>
    <n v="0"/>
    <n v="0"/>
    <n v="0"/>
    <n v="0"/>
    <n v="0"/>
  </r>
  <r>
    <d v="2012-07-07T00:00:00.000"/>
    <x v="0"/>
    <m/>
    <x v="1"/>
    <x v="6"/>
    <s v="Kyar Yoke"/>
    <m/>
    <m/>
    <m/>
    <m/>
    <n v="33"/>
    <m/>
    <m/>
    <m/>
    <n v="0"/>
    <n v="0"/>
    <n v="0"/>
    <n v="0"/>
    <n v="0"/>
    <n v="0"/>
    <n v="0"/>
    <n v="0"/>
  </r>
  <r>
    <d v="2012-07-07T00:00:00.000"/>
    <x v="0"/>
    <m/>
    <x v="1"/>
    <x v="6"/>
    <s v="Ya Tayar Monastery"/>
    <m/>
    <m/>
    <m/>
    <m/>
    <n v="52"/>
    <m/>
    <m/>
    <m/>
    <n v="0"/>
    <n v="0"/>
    <n v="0"/>
    <n v="0"/>
    <n v="0"/>
    <n v="0"/>
    <n v="0"/>
    <n v="0"/>
  </r>
  <r>
    <d v="2012-07-07T00:00:00.000"/>
    <x v="0"/>
    <m/>
    <x v="1"/>
    <x v="6"/>
    <s v="Layaungwin Monastery"/>
    <m/>
    <m/>
    <m/>
    <m/>
    <n v="9"/>
    <m/>
    <m/>
    <m/>
    <n v="0"/>
    <n v="0"/>
    <n v="0"/>
    <n v="0"/>
    <n v="0"/>
    <n v="0"/>
    <n v="0"/>
    <n v="0"/>
  </r>
  <r>
    <d v="2012-07-05T00:00:00.000"/>
    <x v="0"/>
    <m/>
    <x v="1"/>
    <x v="6"/>
    <s v="Ar Thaw Ka Yone Monastery"/>
    <m/>
    <m/>
    <m/>
    <m/>
    <n v="43"/>
    <m/>
    <m/>
    <m/>
    <n v="0"/>
    <n v="0"/>
    <n v="0"/>
    <n v="0"/>
    <n v="0"/>
    <n v="0"/>
    <n v="0"/>
    <n v="0"/>
  </r>
  <r>
    <d v="2012-07-05T00:00:00.000"/>
    <x v="0"/>
    <m/>
    <x v="1"/>
    <x v="6"/>
    <s v="Gyit Bak Monastery"/>
    <m/>
    <m/>
    <m/>
    <m/>
    <n v="36"/>
    <m/>
    <m/>
    <m/>
    <n v="0"/>
    <n v="0"/>
    <n v="0"/>
    <n v="0"/>
    <n v="0"/>
    <n v="0"/>
    <n v="0"/>
    <n v="0"/>
  </r>
  <r>
    <d v="2012-07-05T00:00:00.000"/>
    <x v="0"/>
    <m/>
    <x v="1"/>
    <x v="6"/>
    <s v="Gyit Chay Monastery"/>
    <m/>
    <m/>
    <m/>
    <m/>
    <n v="69"/>
    <m/>
    <m/>
    <m/>
    <n v="0"/>
    <n v="0"/>
    <n v="0"/>
    <n v="0"/>
    <n v="0"/>
    <n v="0"/>
    <n v="0"/>
    <n v="0"/>
  </r>
  <r>
    <d v="2012-07-05T00:00:00.000"/>
    <x v="0"/>
    <m/>
    <x v="1"/>
    <x v="6"/>
    <s v="Su Taung Pyae Monastery"/>
    <m/>
    <m/>
    <m/>
    <m/>
    <n v="280"/>
    <m/>
    <m/>
    <m/>
    <n v="0"/>
    <n v="0"/>
    <n v="0"/>
    <n v="0"/>
    <n v="0"/>
    <n v="0"/>
    <n v="0"/>
    <n v="0"/>
  </r>
  <r>
    <d v="2012-07-05T00:00:00.000"/>
    <x v="0"/>
    <m/>
    <x v="1"/>
    <x v="6"/>
    <s v="Boke Daw Maw"/>
    <m/>
    <m/>
    <m/>
    <m/>
    <n v="171"/>
    <m/>
    <m/>
    <m/>
    <n v="0"/>
    <n v="0"/>
    <n v="0"/>
    <n v="0"/>
    <n v="0"/>
    <n v="0"/>
    <n v="0"/>
    <n v="0"/>
  </r>
  <r>
    <d v="2012-07-05T00:00:00.000"/>
    <x v="0"/>
    <m/>
    <x v="1"/>
    <x v="6"/>
    <s v="Khaung Doke Khar "/>
    <m/>
    <m/>
    <m/>
    <m/>
    <n v="132"/>
    <m/>
    <m/>
    <m/>
    <n v="0"/>
    <n v="0"/>
    <n v="0"/>
    <n v="0"/>
    <n v="0"/>
    <n v="0"/>
    <n v="0"/>
    <n v="0"/>
  </r>
  <r>
    <d v="2012-07-05T00:00:00.000"/>
    <x v="0"/>
    <m/>
    <x v="1"/>
    <x v="6"/>
    <s v="Dar Pai"/>
    <m/>
    <m/>
    <m/>
    <m/>
    <n v="18"/>
    <m/>
    <m/>
    <m/>
    <n v="0"/>
    <n v="0"/>
    <n v="0"/>
    <n v="0"/>
    <n v="0"/>
    <n v="0"/>
    <n v="0"/>
    <n v="0"/>
  </r>
  <r>
    <d v="2012-06-30T00:00:00.000"/>
    <x v="0"/>
    <m/>
    <x v="1"/>
    <x v="6"/>
    <s v="Danyawaddy Baw Lone Kwin"/>
    <m/>
    <m/>
    <m/>
    <m/>
    <n v="103"/>
    <m/>
    <m/>
    <m/>
    <n v="0"/>
    <n v="0"/>
    <n v="0"/>
    <n v="0"/>
    <n v="0"/>
    <n v="0"/>
    <n v="0"/>
    <n v="0"/>
  </r>
  <r>
    <d v="2012-06-30T00:00:00.000"/>
    <x v="0"/>
    <m/>
    <x v="1"/>
    <x v="6"/>
    <s v="Tha Ma Da ZTK"/>
    <m/>
    <m/>
    <m/>
    <m/>
    <n v="35"/>
    <m/>
    <m/>
    <m/>
    <n v="0"/>
    <n v="0"/>
    <n v="0"/>
    <n v="0"/>
    <n v="0"/>
    <n v="0"/>
    <n v="0"/>
    <n v="0"/>
  </r>
  <r>
    <d v="2012-06-30T00:00:00.000"/>
    <x v="0"/>
    <m/>
    <x v="1"/>
    <x v="6"/>
    <s v="Khaung Laung"/>
    <m/>
    <m/>
    <m/>
    <m/>
    <n v="36"/>
    <m/>
    <m/>
    <m/>
    <n v="0"/>
    <n v="0"/>
    <n v="0"/>
    <n v="0"/>
    <n v="0"/>
    <n v="0"/>
    <n v="0"/>
    <n v="0"/>
  </r>
  <r>
    <d v="2012-06-30T00:00:00.000"/>
    <x v="0"/>
    <m/>
    <x v="1"/>
    <x v="6"/>
    <s v="Pyin Nyar Mandine Monastery"/>
    <m/>
    <m/>
    <m/>
    <m/>
    <n v="9"/>
    <m/>
    <m/>
    <m/>
    <n v="0"/>
    <n v="0"/>
    <n v="0"/>
    <n v="0"/>
    <n v="0"/>
    <n v="0"/>
    <n v="0"/>
    <n v="0"/>
  </r>
  <r>
    <d v="2012-06-30T00:00:00.000"/>
    <x v="0"/>
    <m/>
    <x v="1"/>
    <x v="6"/>
    <s v="TanTan"/>
    <m/>
    <m/>
    <m/>
    <m/>
    <n v="20"/>
    <m/>
    <m/>
    <m/>
    <n v="0"/>
    <n v="0"/>
    <n v="0"/>
    <n v="0"/>
    <n v="0"/>
    <n v="0"/>
    <n v="0"/>
    <n v="0"/>
  </r>
  <r>
    <d v="2012-06-30T00:00:00.000"/>
    <x v="0"/>
    <m/>
    <x v="1"/>
    <x v="6"/>
    <s v="Nyar Ni Kar Ya Ma"/>
    <m/>
    <m/>
    <m/>
    <m/>
    <n v="36"/>
    <m/>
    <m/>
    <m/>
    <n v="0"/>
    <n v="0"/>
    <n v="0"/>
    <n v="0"/>
    <n v="0"/>
    <n v="0"/>
    <n v="0"/>
    <n v="0"/>
  </r>
  <r>
    <d v="2012-06-29T00:00:00.000"/>
    <x v="0"/>
    <m/>
    <x v="1"/>
    <x v="6"/>
    <s v="Thet Kae Pyin "/>
    <m/>
    <m/>
    <m/>
    <m/>
    <n v="200"/>
    <m/>
    <m/>
    <m/>
    <n v="0"/>
    <n v="0"/>
    <n v="0"/>
    <n v="0"/>
    <n v="0"/>
    <n v="0"/>
    <n v="0"/>
    <n v="0"/>
  </r>
  <r>
    <d v="2012-06-29T00:00:00.000"/>
    <x v="0"/>
    <m/>
    <x v="1"/>
    <x v="6"/>
    <s v="Sin Ku Lann Monastery"/>
    <m/>
    <m/>
    <m/>
    <m/>
    <n v="62"/>
    <m/>
    <m/>
    <m/>
    <n v="0"/>
    <n v="0"/>
    <n v="0"/>
    <n v="0"/>
    <n v="0"/>
    <n v="0"/>
    <n v="0"/>
    <n v="0"/>
  </r>
  <r>
    <d v="2012-06-29T00:00:00.000"/>
    <x v="0"/>
    <m/>
    <x v="1"/>
    <x v="6"/>
    <s v="Myo Ma Monastery"/>
    <m/>
    <m/>
    <m/>
    <m/>
    <n v="66"/>
    <m/>
    <m/>
    <m/>
    <n v="0"/>
    <n v="0"/>
    <n v="0"/>
    <n v="0"/>
    <n v="0"/>
    <n v="0"/>
    <n v="0"/>
    <n v="0"/>
  </r>
  <r>
    <d v="2012-06-29T00:00:00.000"/>
    <x v="0"/>
    <m/>
    <x v="1"/>
    <x v="6"/>
    <s v="Dak Kaung Monastery"/>
    <m/>
    <m/>
    <m/>
    <m/>
    <n v="66"/>
    <m/>
    <m/>
    <m/>
    <n v="0"/>
    <n v="0"/>
    <n v="0"/>
    <n v="0"/>
    <n v="0"/>
    <n v="0"/>
    <n v="0"/>
    <n v="0"/>
  </r>
  <r>
    <d v="2012-06-29T00:00:00.000"/>
    <x v="0"/>
    <m/>
    <x v="1"/>
    <x v="6"/>
    <s v="Mahar Zay Ya Theik"/>
    <m/>
    <m/>
    <m/>
    <m/>
    <n v="37"/>
    <m/>
    <m/>
    <m/>
    <n v="0"/>
    <n v="0"/>
    <n v="0"/>
    <n v="0"/>
    <n v="0"/>
    <n v="0"/>
    <n v="0"/>
    <n v="0"/>
  </r>
  <r>
    <d v="2012-06-28T00:00:00.000"/>
    <x v="0"/>
    <m/>
    <x v="1"/>
    <x v="6"/>
    <s v="Da Ma Set Kyar"/>
    <m/>
    <m/>
    <m/>
    <m/>
    <n v="52"/>
    <m/>
    <m/>
    <m/>
    <n v="0"/>
    <n v="0"/>
    <n v="0"/>
    <n v="0"/>
    <n v="0"/>
    <n v="0"/>
    <n v="0"/>
    <n v="0"/>
  </r>
  <r>
    <d v="2012-06-28T00:00:00.000"/>
    <x v="0"/>
    <m/>
    <x v="1"/>
    <x v="6"/>
    <s v="Sit Kae Taw Min"/>
    <m/>
    <m/>
    <m/>
    <m/>
    <n v="89"/>
    <m/>
    <m/>
    <m/>
    <n v="0"/>
    <n v="0"/>
    <n v="0"/>
    <n v="0"/>
    <n v="0"/>
    <n v="0"/>
    <n v="0"/>
    <n v="0"/>
  </r>
  <r>
    <d v="2012-06-28T00:00:00.000"/>
    <x v="0"/>
    <m/>
    <x v="1"/>
    <x v="6"/>
    <s v="Phyin Nyar Ag Myay"/>
    <m/>
    <m/>
    <m/>
    <m/>
    <n v="11"/>
    <m/>
    <m/>
    <m/>
    <n v="0"/>
    <n v="0"/>
    <n v="0"/>
    <n v="0"/>
    <n v="0"/>
    <n v="0"/>
    <n v="0"/>
    <n v="0"/>
  </r>
  <r>
    <d v="2012-06-28T00:00:00.000"/>
    <x v="0"/>
    <m/>
    <x v="1"/>
    <x v="6"/>
    <s v="Kaw Nyar Na"/>
    <m/>
    <m/>
    <m/>
    <m/>
    <n v="9"/>
    <m/>
    <m/>
    <m/>
    <n v="0"/>
    <n v="0"/>
    <n v="0"/>
    <n v="0"/>
    <n v="0"/>
    <n v="0"/>
    <n v="0"/>
    <n v="0"/>
  </r>
  <r>
    <d v="2012-06-28T00:00:00.000"/>
    <x v="0"/>
    <m/>
    <x v="1"/>
    <x v="6"/>
    <s v="Dar Pai"/>
    <m/>
    <m/>
    <m/>
    <m/>
    <n v="300"/>
    <m/>
    <m/>
    <m/>
    <n v="0"/>
    <n v="0"/>
    <n v="0"/>
    <n v="0"/>
    <n v="0"/>
    <n v="0"/>
    <n v="0"/>
    <n v="0"/>
  </r>
  <r>
    <d v="2012-06-27T00:00:00.000"/>
    <x v="0"/>
    <m/>
    <x v="1"/>
    <x v="6"/>
    <s v="MahaKuthaLa"/>
    <m/>
    <m/>
    <m/>
    <m/>
    <n v="11"/>
    <m/>
    <m/>
    <m/>
    <n v="0"/>
    <n v="0"/>
    <n v="0"/>
    <n v="0"/>
    <n v="0"/>
    <n v="0"/>
    <n v="0"/>
    <n v="0"/>
  </r>
  <r>
    <d v="2012-06-27T00:00:00.000"/>
    <x v="0"/>
    <m/>
    <x v="1"/>
    <x v="6"/>
    <s v="U Ye Kyaw Thu"/>
    <m/>
    <m/>
    <m/>
    <m/>
    <n v="200"/>
    <m/>
    <m/>
    <m/>
    <n v="0"/>
    <n v="0"/>
    <n v="0"/>
    <n v="0"/>
    <n v="0"/>
    <n v="0"/>
    <n v="0"/>
    <n v="0"/>
  </r>
  <r>
    <d v="2012-06-27T00:00:00.000"/>
    <x v="0"/>
    <m/>
    <x v="1"/>
    <x v="6"/>
    <s v="Ywar Gyi"/>
    <m/>
    <m/>
    <m/>
    <m/>
    <n v="72"/>
    <m/>
    <m/>
    <m/>
    <n v="0"/>
    <n v="0"/>
    <n v="0"/>
    <n v="0"/>
    <n v="0"/>
    <n v="0"/>
    <n v="0"/>
    <n v="0"/>
  </r>
  <r>
    <d v="2012-06-27T00:00:00.000"/>
    <x v="0"/>
    <m/>
    <x v="1"/>
    <x v="6"/>
    <s v="Ma Ni Yadanar Monastery"/>
    <m/>
    <m/>
    <m/>
    <m/>
    <n v="120"/>
    <m/>
    <m/>
    <m/>
    <n v="0"/>
    <n v="0"/>
    <n v="0"/>
    <n v="0"/>
    <n v="0"/>
    <n v="0"/>
    <n v="0"/>
    <n v="0"/>
  </r>
  <r>
    <d v="2013-03-14T00:00:00.000"/>
    <x v="4"/>
    <s v="DRC"/>
    <x v="1"/>
    <x v="6"/>
    <s v="Say Tha Mar Gyi"/>
    <n v="2907"/>
    <m/>
    <m/>
    <m/>
    <m/>
    <m/>
    <m/>
    <m/>
    <n v="0"/>
    <n v="0"/>
    <n v="0"/>
    <n v="0"/>
    <n v="0"/>
    <n v="0"/>
    <n v="0"/>
    <n v="0"/>
  </r>
  <r>
    <d v="2013-01-24T00:00:00.000"/>
    <x v="5"/>
    <s v="Save the Children"/>
    <x v="1"/>
    <x v="6"/>
    <s v="Thet Kae Pyin "/>
    <n v="3100"/>
    <m/>
    <m/>
    <m/>
    <m/>
    <m/>
    <m/>
    <m/>
    <n v="0"/>
    <n v="0"/>
    <n v="0"/>
    <n v="0"/>
    <n v="0"/>
    <n v="0"/>
    <n v="0"/>
    <n v="0"/>
  </r>
  <r>
    <d v="2013-01-30T00:00:00.000"/>
    <x v="5"/>
    <s v="Save the Children"/>
    <x v="1"/>
    <x v="8"/>
    <s v="Sin Tet Maw"/>
    <n v="810"/>
    <m/>
    <m/>
    <m/>
    <m/>
    <m/>
    <m/>
    <m/>
    <n v="0"/>
    <n v="0"/>
    <n v="0"/>
    <n v="0"/>
    <n v="0"/>
    <n v="0"/>
    <n v="0"/>
    <n v="0"/>
  </r>
  <r>
    <d v="2013-02-01T00:00:00.000"/>
    <x v="5"/>
    <s v="Save the Children"/>
    <x v="1"/>
    <x v="8"/>
    <s v="Kyein Ni Pyin"/>
    <n v="858"/>
    <m/>
    <m/>
    <m/>
    <m/>
    <m/>
    <m/>
    <m/>
    <n v="0"/>
    <n v="0"/>
    <n v="0"/>
    <n v="0"/>
    <n v="0"/>
    <n v="0"/>
    <n v="0"/>
    <n v="0"/>
  </r>
  <r>
    <d v="2013-02-01T00:00:00.000"/>
    <x v="5"/>
    <s v="Save the Children"/>
    <x v="1"/>
    <x v="8"/>
    <s v="Ah Nauk Ywe"/>
    <n v="803"/>
    <m/>
    <m/>
    <m/>
    <m/>
    <m/>
    <m/>
    <m/>
    <n v="0"/>
    <n v="0"/>
    <n v="0"/>
    <n v="0"/>
    <n v="0"/>
    <n v="0"/>
    <n v="0"/>
    <n v="0"/>
  </r>
  <r>
    <d v="2013-04-02T00:00:00.000"/>
    <x v="5"/>
    <s v="Save the Children"/>
    <x v="1"/>
    <x v="6"/>
    <s v="Thet Kae Pyin "/>
    <n v="3100"/>
    <m/>
    <m/>
    <m/>
    <m/>
    <m/>
    <m/>
    <m/>
    <n v="0"/>
    <n v="0"/>
    <n v="0"/>
    <n v="0"/>
    <n v="0"/>
    <n v="0"/>
    <n v="0"/>
    <n v="0"/>
  </r>
  <r>
    <d v="2013-04-24T00:00:00.000"/>
    <x v="5"/>
    <s v="Save the Children"/>
    <x v="1"/>
    <x v="8"/>
    <s v="Nget Chaung"/>
    <n v="1338"/>
    <m/>
    <m/>
    <m/>
    <m/>
    <m/>
    <m/>
    <m/>
    <n v="0"/>
    <n v="0"/>
    <n v="0"/>
    <n v="0"/>
    <n v="0"/>
    <n v="0"/>
    <n v="0"/>
    <n v="0"/>
  </r>
  <r>
    <d v="2013-04-26T00:00:00.000"/>
    <x v="5"/>
    <s v="Save the Children"/>
    <x v="1"/>
    <x v="8"/>
    <s v="Kyein Ni Pyin"/>
    <n v="1028"/>
    <m/>
    <m/>
    <m/>
    <m/>
    <m/>
    <m/>
    <m/>
    <n v="0"/>
    <n v="0"/>
    <n v="0"/>
    <n v="0"/>
    <n v="0"/>
    <n v="0"/>
    <n v="0"/>
    <n v="0"/>
  </r>
  <r>
    <d v="2013-05-22T00:00:00.000"/>
    <x v="5"/>
    <s v="Save the Children"/>
    <x v="1"/>
    <x v="8"/>
    <s v="Kyein Ni Pyin"/>
    <n v="903"/>
    <m/>
    <m/>
    <m/>
    <m/>
    <m/>
    <m/>
    <m/>
    <n v="0"/>
    <n v="0"/>
    <n v="0"/>
    <n v="0"/>
    <n v="0"/>
    <n v="0"/>
    <n v="0"/>
    <n v="0"/>
  </r>
  <r>
    <d v="2013-05-23T00:00:00.000"/>
    <x v="5"/>
    <s v="Save the Children"/>
    <x v="1"/>
    <x v="6"/>
    <s v="Thet Kae Pyin "/>
    <n v="4795"/>
    <m/>
    <m/>
    <m/>
    <m/>
    <m/>
    <m/>
    <m/>
    <n v="0"/>
    <n v="0"/>
    <n v="0"/>
    <n v="0"/>
    <n v="0"/>
    <n v="0"/>
    <n v="0"/>
    <n v="0"/>
  </r>
  <r>
    <d v="2013-05-28T00:00:00.000"/>
    <x v="5"/>
    <s v="Save the Children"/>
    <x v="1"/>
    <x v="8"/>
    <s v="Sin Tet Maw"/>
    <n v="849"/>
    <m/>
    <m/>
    <m/>
    <m/>
    <m/>
    <m/>
    <m/>
    <n v="0"/>
    <n v="0"/>
    <n v="0"/>
    <n v="0"/>
    <n v="0"/>
    <n v="0"/>
    <n v="0"/>
    <n v="0"/>
  </r>
  <r>
    <d v="2013-05-29T00:00:00.000"/>
    <x v="5"/>
    <s v="Save the Children"/>
    <x v="1"/>
    <x v="8"/>
    <s v="Nget Chaung"/>
    <n v="173"/>
    <m/>
    <m/>
    <m/>
    <m/>
    <m/>
    <m/>
    <m/>
    <n v="0"/>
    <n v="0"/>
    <n v="0"/>
    <n v="0"/>
    <n v="0"/>
    <n v="0"/>
    <n v="0"/>
    <n v="0"/>
  </r>
  <r>
    <d v="2013-05-29T00:00:00.000"/>
    <x v="5"/>
    <s v="Save the Children"/>
    <x v="1"/>
    <x v="6"/>
    <s v="Bu May Ohn Taw"/>
    <n v="502"/>
    <m/>
    <m/>
    <m/>
    <m/>
    <m/>
    <m/>
    <m/>
    <n v="0"/>
    <n v="0"/>
    <n v="0"/>
    <n v="0"/>
    <n v="0"/>
    <n v="0"/>
    <n v="0"/>
    <n v="0"/>
  </r>
  <r>
    <d v="2013-05-29T00:00:00.000"/>
    <x v="5"/>
    <s v="Save the Children"/>
    <x v="1"/>
    <x v="6"/>
    <s v="Hmanzi Junction"/>
    <n v="203"/>
    <m/>
    <m/>
    <m/>
    <m/>
    <m/>
    <m/>
    <m/>
    <n v="0"/>
    <n v="0"/>
    <n v="0"/>
    <n v="0"/>
    <n v="0"/>
    <n v="0"/>
    <n v="0"/>
    <n v="0"/>
  </r>
  <r>
    <d v="2013-05-29T00:00:00.000"/>
    <x v="5"/>
    <s v="Save the Children"/>
    <x v="1"/>
    <x v="8"/>
    <s v="Ah Nauk Ywe"/>
    <n v="773"/>
    <m/>
    <m/>
    <m/>
    <m/>
    <m/>
    <m/>
    <m/>
    <n v="0"/>
    <n v="0"/>
    <n v="0"/>
    <n v="0"/>
    <n v="0"/>
    <n v="0"/>
    <n v="0"/>
    <n v="0"/>
  </r>
  <r>
    <d v="2013-07-01T00:00:00.000"/>
    <x v="0"/>
    <s v="UNHCR"/>
    <x v="1"/>
    <x v="11"/>
    <s v="Goke Pi Htaunt"/>
    <m/>
    <n v="116"/>
    <m/>
    <m/>
    <m/>
    <m/>
    <m/>
    <m/>
    <n v="0"/>
    <n v="0"/>
    <n v="0"/>
    <n v="0"/>
    <n v="0"/>
    <n v="0"/>
    <n v="0"/>
    <n v="0"/>
  </r>
  <r>
    <d v="2013-07-01T00:00:00.000"/>
    <x v="0"/>
    <s v="UNHCR"/>
    <x v="1"/>
    <x v="11"/>
    <s v="In Bar Yi"/>
    <m/>
    <n v="230"/>
    <m/>
    <m/>
    <m/>
    <m/>
    <m/>
    <m/>
    <n v="0"/>
    <n v="0"/>
    <n v="0"/>
    <n v="0"/>
    <n v="0"/>
    <n v="0"/>
    <n v="0"/>
    <n v="0"/>
  </r>
  <r>
    <d v="2013-07-01T00:00:00.000"/>
    <x v="0"/>
    <s v="UNHCR"/>
    <x v="1"/>
    <x v="11"/>
    <s v="Shwe Hlaing"/>
    <m/>
    <n v="145"/>
    <m/>
    <m/>
    <m/>
    <m/>
    <m/>
    <m/>
    <n v="0"/>
    <n v="0"/>
    <n v="0"/>
    <n v="0"/>
    <n v="0"/>
    <n v="0"/>
    <n v="0"/>
    <n v="0"/>
  </r>
  <r>
    <d v="2013-07-01T00:00:00.000"/>
    <x v="0"/>
    <s v="UNHCR"/>
    <x v="1"/>
    <x v="11"/>
    <s v="Yun Nyar"/>
    <m/>
    <n v="108"/>
    <m/>
    <m/>
    <m/>
    <m/>
    <m/>
    <m/>
    <n v="0"/>
    <n v="0"/>
    <n v="0"/>
    <n v="0"/>
    <n v="0"/>
    <n v="0"/>
    <n v="0"/>
    <n v="0"/>
  </r>
  <r>
    <d v="2013-07-01T00:00:00.000"/>
    <x v="0"/>
    <s v="UNHCR"/>
    <x v="1"/>
    <x v="11"/>
    <s v="Ah Pauk Wa "/>
    <m/>
    <n v="112"/>
    <m/>
    <m/>
    <m/>
    <m/>
    <m/>
    <m/>
    <n v="0"/>
    <n v="0"/>
    <n v="0"/>
    <n v="0"/>
    <n v="0"/>
    <n v="0"/>
    <n v="0"/>
    <n v="0"/>
  </r>
  <r>
    <d v="2013-07-01T00:00:00.000"/>
    <x v="0"/>
    <s v="UNHCR"/>
    <x v="1"/>
    <x v="11"/>
    <s v="Khaung Htoke"/>
    <m/>
    <n v="159"/>
    <m/>
    <m/>
    <m/>
    <m/>
    <m/>
    <m/>
    <n v="0"/>
    <n v="0"/>
    <n v="0"/>
    <n v="0"/>
    <n v="0"/>
    <n v="0"/>
    <n v="0"/>
    <n v="0"/>
  </r>
  <r>
    <d v="2013-07-01T00:00:00.000"/>
    <x v="0"/>
    <s v="UNHCR"/>
    <x v="1"/>
    <x v="11"/>
    <s v="Let Saung Kauk"/>
    <m/>
    <n v="83"/>
    <m/>
    <m/>
    <m/>
    <m/>
    <m/>
    <m/>
    <n v="0"/>
    <n v="0"/>
    <n v="0"/>
    <n v="0"/>
    <n v="0"/>
    <n v="0"/>
    <n v="0"/>
    <n v="0"/>
  </r>
  <r>
    <d v="2013-07-01T00:00:00.000"/>
    <x v="0"/>
    <s v="UNHCR"/>
    <x v="1"/>
    <x v="11"/>
    <s v="Taung Bwe"/>
    <m/>
    <n v="50"/>
    <m/>
    <m/>
    <m/>
    <m/>
    <m/>
    <m/>
    <n v="0"/>
    <n v="0"/>
    <n v="0"/>
    <n v="0"/>
    <n v="0"/>
    <n v="0"/>
    <n v="0"/>
    <n v="0"/>
  </r>
  <r>
    <d v="2013-07-01T00:00:00.000"/>
    <x v="0"/>
    <s v="UNHCR"/>
    <x v="1"/>
    <x v="11"/>
    <s v="Ah Lel"/>
    <m/>
    <n v="45"/>
    <m/>
    <m/>
    <m/>
    <m/>
    <m/>
    <m/>
    <n v="0"/>
    <n v="0"/>
    <n v="0"/>
    <n v="0"/>
    <n v="0"/>
    <n v="0"/>
    <n v="0"/>
    <n v="0"/>
  </r>
  <r>
    <d v="2013-07-01T00:00:00.000"/>
    <x v="6"/>
    <s v="UNHCR"/>
    <x v="1"/>
    <x v="11"/>
    <s v="Let Saung Kauk"/>
    <m/>
    <m/>
    <n v="60"/>
    <m/>
    <m/>
    <m/>
    <m/>
    <m/>
    <n v="0"/>
    <n v="0"/>
    <n v="0"/>
    <n v="0"/>
    <n v="0"/>
    <n v="0"/>
    <n v="0"/>
    <n v="0"/>
  </r>
  <r>
    <d v="2013-07-01T00:00:00.000"/>
    <x v="0"/>
    <s v="UNHCR"/>
    <x v="1"/>
    <x v="11"/>
    <s v="Nidin"/>
    <m/>
    <n v="163"/>
    <m/>
    <m/>
    <m/>
    <m/>
    <m/>
    <m/>
    <n v="0"/>
    <n v="0"/>
    <n v="0"/>
    <n v="0"/>
    <n v="0"/>
    <n v="0"/>
    <n v="0"/>
    <n v="0"/>
  </r>
  <r>
    <d v="2013-06-14T00:00:00.000"/>
    <x v="0"/>
    <s v="UNHCR"/>
    <x v="0"/>
    <x v="3"/>
    <s v="Pa Kahtawng "/>
    <m/>
    <m/>
    <n v="42"/>
    <n v="42"/>
    <n v="21"/>
    <m/>
    <n v="42"/>
    <n v="21"/>
    <n v="21"/>
    <n v="0"/>
    <n v="0"/>
    <n v="0"/>
    <n v="0"/>
    <n v="0"/>
    <n v="0"/>
    <n v="0"/>
  </r>
  <r>
    <d v="2013-06-13T00:00:00.000"/>
    <x v="0"/>
    <s v="UNHCR"/>
    <x v="0"/>
    <x v="3"/>
    <s v="Loi Je Baptist Church"/>
    <m/>
    <m/>
    <n v="1518"/>
    <n v="108"/>
    <n v="39"/>
    <m/>
    <n v="108"/>
    <n v="39"/>
    <n v="39"/>
    <n v="0"/>
    <n v="0"/>
    <n v="0"/>
    <n v="0"/>
    <n v="0"/>
    <n v="0"/>
    <n v="0"/>
  </r>
  <r>
    <d v="2013-01-01T00:00:00.000"/>
    <x v="7"/>
    <s v="ABCD"/>
    <x v="1"/>
    <x v="7"/>
    <s v="Myat Buddha Mandine Monastery"/>
    <n v="50"/>
    <m/>
    <m/>
    <m/>
    <m/>
    <m/>
    <m/>
    <m/>
    <n v="0"/>
    <n v="0"/>
    <n v="0"/>
    <n v="0"/>
    <n v="0"/>
    <n v="0"/>
    <n v="0"/>
    <n v="0"/>
  </r>
  <r>
    <d v="2013-01-01T00:00:00.000"/>
    <x v="7"/>
    <s v="ABCD"/>
    <x v="1"/>
    <x v="6"/>
    <s v="Mingan"/>
    <n v="80"/>
    <m/>
    <m/>
    <m/>
    <m/>
    <m/>
    <m/>
    <m/>
    <n v="0"/>
    <n v="0"/>
    <n v="0"/>
    <n v="0"/>
    <n v="0"/>
    <n v="0"/>
    <n v="0"/>
    <n v="0"/>
  </r>
  <r>
    <d v="2013-01-01T00:00:00.000"/>
    <x v="7"/>
    <s v="ABCD"/>
    <x v="1"/>
    <x v="6"/>
    <s v="Set Yone Su"/>
    <n v="220"/>
    <m/>
    <m/>
    <m/>
    <m/>
    <m/>
    <m/>
    <m/>
    <n v="0"/>
    <n v="0"/>
    <n v="0"/>
    <n v="0"/>
    <n v="0"/>
    <n v="0"/>
    <n v="0"/>
    <n v="0"/>
  </r>
  <r>
    <d v="2013-01-01T00:00:00.000"/>
    <x v="8"/>
    <s v="Solidarities International"/>
    <x v="1"/>
    <x v="6"/>
    <s v="Set Yone Su"/>
    <n v="220"/>
    <m/>
    <m/>
    <m/>
    <m/>
    <m/>
    <m/>
    <m/>
    <n v="0"/>
    <n v="0"/>
    <n v="0"/>
    <n v="0"/>
    <n v="0"/>
    <n v="0"/>
    <n v="0"/>
    <n v="0"/>
  </r>
  <r>
    <d v="2013-01-01T00:00:00.000"/>
    <x v="9"/>
    <s v="CDN"/>
    <x v="1"/>
    <x v="6"/>
    <s v="Basare"/>
    <n v="20"/>
    <m/>
    <m/>
    <m/>
    <m/>
    <m/>
    <m/>
    <m/>
    <n v="0"/>
    <n v="0"/>
    <n v="0"/>
    <n v="0"/>
    <n v="0"/>
    <n v="0"/>
    <n v="0"/>
    <n v="0"/>
  </r>
  <r>
    <d v="2013-01-01T00:00:00.000"/>
    <x v="8"/>
    <s v="Solidarities International"/>
    <x v="1"/>
    <x v="6"/>
    <s v="Dar Pai"/>
    <n v="3758"/>
    <m/>
    <m/>
    <m/>
    <m/>
    <m/>
    <m/>
    <m/>
    <n v="0"/>
    <n v="0"/>
    <n v="0"/>
    <n v="0"/>
    <n v="0"/>
    <n v="0"/>
    <n v="0"/>
    <n v="0"/>
  </r>
  <r>
    <d v="2013-01-01T00:00:00.000"/>
    <x v="9"/>
    <s v="CDN"/>
    <x v="1"/>
    <x v="6"/>
    <s v="Khaung Doke Khar "/>
    <n v="722"/>
    <m/>
    <m/>
    <m/>
    <m/>
    <m/>
    <m/>
    <m/>
    <n v="0"/>
    <n v="0"/>
    <n v="0"/>
    <n v="0"/>
    <n v="0"/>
    <n v="0"/>
    <n v="0"/>
    <n v="0"/>
  </r>
  <r>
    <d v="2013-01-01T00:00:00.000"/>
    <x v="8"/>
    <s v="Solidarities International"/>
    <x v="1"/>
    <x v="6"/>
    <s v="Baw Du Pha"/>
    <n v="4390"/>
    <m/>
    <m/>
    <m/>
    <m/>
    <m/>
    <m/>
    <m/>
    <n v="0"/>
    <n v="0"/>
    <n v="0"/>
    <n v="0"/>
    <n v="0"/>
    <n v="0"/>
    <n v="0"/>
    <n v="0"/>
  </r>
  <r>
    <d v="2013-01-01T00:00:00.000"/>
    <x v="8"/>
    <s v="Solidarities International"/>
    <x v="1"/>
    <x v="6"/>
    <s v="Thae Chaung"/>
    <n v="2939"/>
    <m/>
    <m/>
    <m/>
    <m/>
    <m/>
    <m/>
    <m/>
    <n v="0"/>
    <n v="0"/>
    <n v="0"/>
    <n v="0"/>
    <n v="0"/>
    <n v="0"/>
    <n v="0"/>
    <n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93">
  <r>
    <n v="1"/>
    <m/>
    <x v="0"/>
    <x v="0"/>
    <m/>
    <x v="0"/>
    <m/>
    <m/>
    <m/>
    <m/>
    <m/>
    <s v="AD-2000 Tharthana Compound"/>
    <s v="MMR001CMP050"/>
    <s v="GCA"/>
    <n v="97.23883"/>
    <n v="24.26072"/>
    <n v="219"/>
    <n v="858"/>
    <n v="3.9178082191780823"/>
    <s v="KBSS"/>
    <m/>
    <m/>
    <m/>
  </r>
  <r>
    <n v="2"/>
    <m/>
    <x v="0"/>
    <x v="0"/>
    <m/>
    <x v="0"/>
    <m/>
    <m/>
    <m/>
    <m/>
    <m/>
    <s v="Aung Thar Church"/>
    <s v="MMR001CMP194"/>
    <s v="GCA"/>
    <n v="97.25265"/>
    <n v="24.260467"/>
    <s v=""/>
    <s v=""/>
    <s v="UNHCR"/>
    <m/>
    <m/>
    <m/>
    <m/>
  </r>
  <r>
    <n v="3"/>
    <m/>
    <x v="0"/>
    <x v="0"/>
    <m/>
    <x v="0"/>
    <m/>
    <m/>
    <m/>
    <m/>
    <m/>
    <s v="Daw Hpum Yang Ninghtawn"/>
    <s v="MMR001CMP153"/>
    <s v="GCA"/>
    <m/>
    <m/>
    <s v=""/>
    <s v=""/>
    <s v=""/>
    <m/>
    <m/>
    <m/>
    <m/>
  </r>
  <r>
    <n v="4"/>
    <m/>
    <x v="0"/>
    <x v="0"/>
    <m/>
    <x v="0"/>
    <m/>
    <m/>
    <m/>
    <m/>
    <m/>
    <s v="Host Families"/>
    <s v="MMR001CMP163"/>
    <s v="GCA"/>
    <m/>
    <m/>
    <n v="284"/>
    <n v="1276"/>
    <n v="4.492957746478873"/>
    <s v=""/>
    <m/>
    <m/>
    <m/>
  </r>
  <r>
    <n v="5"/>
    <m/>
    <x v="0"/>
    <x v="0"/>
    <m/>
    <x v="0"/>
    <m/>
    <m/>
    <m/>
    <m/>
    <m/>
    <s v="Htoi San Church"/>
    <s v="MMR001CMP052"/>
    <s v="GCA"/>
    <n v="97.23692"/>
    <n v="24.24766"/>
    <n v="46"/>
    <n v="210"/>
    <n v="4.565217391304348"/>
    <s v="UNHCR"/>
    <m/>
    <m/>
    <m/>
  </r>
  <r>
    <n v="6"/>
    <m/>
    <x v="0"/>
    <x v="0"/>
    <m/>
    <x v="0"/>
    <m/>
    <m/>
    <m/>
    <m/>
    <m/>
    <s v="Kannar Yeik Thar"/>
    <s v="MMR001CMP048"/>
    <s v="GCA"/>
    <n v="97.221556501"/>
    <n v="24.262418021"/>
    <n v="3"/>
    <n v="13"/>
    <n v="4.333333333333333"/>
    <s v=""/>
    <m/>
    <m/>
    <m/>
  </r>
  <r>
    <n v="7"/>
    <m/>
    <x v="0"/>
    <x v="0"/>
    <m/>
    <x v="0"/>
    <m/>
    <m/>
    <m/>
    <m/>
    <m/>
    <s v="Lisu Boarding-House"/>
    <s v="MMR001CMP049"/>
    <s v="GCA"/>
    <n v="97.24163"/>
    <n v="24.26611"/>
    <n v="63"/>
    <n v="315"/>
    <n v="5"/>
    <s v="UNHCR"/>
    <m/>
    <m/>
    <m/>
  </r>
  <r>
    <n v="8"/>
    <m/>
    <x v="0"/>
    <x v="0"/>
    <m/>
    <x v="0"/>
    <m/>
    <m/>
    <m/>
    <m/>
    <m/>
    <s v="Mu-yin Baptist Church"/>
    <s v="MMR001CMP051"/>
    <s v="GCA"/>
    <n v="97.2342"/>
    <n v="24.253067"/>
    <n v="4"/>
    <n v="12"/>
    <n v="3"/>
    <s v="UNHCR"/>
    <m/>
    <m/>
    <m/>
  </r>
  <r>
    <n v="9"/>
    <m/>
    <x v="0"/>
    <x v="0"/>
    <m/>
    <x v="0"/>
    <m/>
    <m/>
    <m/>
    <m/>
    <m/>
    <s v="Nant Hlaing Church"/>
    <s v="MMR001CMP054"/>
    <s v="GCA"/>
    <n v="97.31586"/>
    <n v="24.32638"/>
    <n v="21"/>
    <n v="101"/>
    <n v="4.809523809523809"/>
    <s v="KBSS"/>
    <m/>
    <m/>
    <m/>
  </r>
  <r>
    <n v="10"/>
    <m/>
    <x v="0"/>
    <x v="0"/>
    <m/>
    <x v="0"/>
    <m/>
    <m/>
    <m/>
    <m/>
    <m/>
    <s v="Phan Khar Kone"/>
    <s v="MMR001CMP193"/>
    <s v="GCA"/>
    <n v="97.25265"/>
    <n v="24.22235"/>
    <n v="17"/>
    <n v="70"/>
    <n v="4.117647058823529"/>
    <s v="UNHCR"/>
    <m/>
    <m/>
    <m/>
  </r>
  <r>
    <n v="11"/>
    <m/>
    <x v="0"/>
    <x v="0"/>
    <m/>
    <x v="0"/>
    <m/>
    <m/>
    <m/>
    <m/>
    <m/>
    <s v="Robert Church"/>
    <s v="MMR001CMP047"/>
    <s v="GCA"/>
    <n v="97.22877"/>
    <n v="24.26502"/>
    <n v="514"/>
    <n v="2487"/>
    <n v="4.83852140077821"/>
    <s v="UNHCR"/>
    <m/>
    <m/>
    <m/>
  </r>
  <r>
    <n v="12"/>
    <m/>
    <x v="0"/>
    <x v="0"/>
    <m/>
    <x v="0"/>
    <m/>
    <m/>
    <m/>
    <m/>
    <m/>
    <s v="Ta Gun Taing Monastery (Shwe Kyi Na)"/>
    <s v="MMR001CMP055"/>
    <s v="GCA"/>
    <n v="97.22779"/>
    <n v="24.29138"/>
    <n v="74"/>
    <n v="318"/>
    <n v="4.297297297297297"/>
    <s v="UNHCR"/>
    <m/>
    <m/>
    <m/>
  </r>
  <r>
    <n v="13"/>
    <m/>
    <x v="0"/>
    <x v="0"/>
    <m/>
    <x v="0"/>
    <m/>
    <m/>
    <m/>
    <m/>
    <m/>
    <s v="Yoe Kyi Monastery"/>
    <s v="MMR001CMP053"/>
    <s v="GCA"/>
    <n v="97.24064"/>
    <n v="24.24953"/>
    <n v="31"/>
    <n v="108"/>
    <n v="3.4838709677419355"/>
    <s v="UNHCR"/>
    <m/>
    <m/>
    <m/>
  </r>
  <r>
    <n v="14"/>
    <m/>
    <x v="0"/>
    <x v="0"/>
    <m/>
    <x v="1"/>
    <m/>
    <m/>
    <m/>
    <m/>
    <m/>
    <s v="Chipwi KBC camp"/>
    <s v="MMR001CMP042"/>
    <s v="GCA"/>
    <m/>
    <m/>
    <s v=""/>
    <n v="353"/>
    <s v="Shalom"/>
    <m/>
    <m/>
    <m/>
    <m/>
  </r>
  <r>
    <n v="15"/>
    <m/>
    <x v="0"/>
    <x v="0"/>
    <m/>
    <x v="1"/>
    <m/>
    <m/>
    <m/>
    <m/>
    <m/>
    <s v="Gant Gwin"/>
    <s v="MMR001CMP046"/>
    <s v="GCA"/>
    <m/>
    <m/>
    <s v=""/>
    <s v=""/>
    <s v=""/>
    <m/>
    <m/>
    <m/>
    <m/>
  </r>
  <r>
    <n v="16"/>
    <m/>
    <x v="0"/>
    <x v="0"/>
    <m/>
    <x v="1"/>
    <m/>
    <m/>
    <m/>
    <m/>
    <m/>
    <s v="Hpare Hkyer - BP6"/>
    <s v="MMR001CMP043"/>
    <s v="GCA"/>
    <m/>
    <m/>
    <s v=""/>
    <s v=""/>
    <s v="Ranir"/>
    <m/>
    <m/>
    <m/>
    <m/>
  </r>
  <r>
    <n v="17"/>
    <m/>
    <x v="0"/>
    <x v="0"/>
    <m/>
    <x v="1"/>
    <m/>
    <m/>
    <m/>
    <m/>
    <m/>
    <s v="Lan Jaw "/>
    <s v="MMR001CMP045"/>
    <s v="GCA"/>
    <n v="98.354147"/>
    <n v="25.708763"/>
    <s v=""/>
    <s v=""/>
    <s v=""/>
    <m/>
    <m/>
    <m/>
    <m/>
  </r>
  <r>
    <n v="18"/>
    <m/>
    <x v="0"/>
    <x v="0"/>
    <m/>
    <x v="1"/>
    <m/>
    <m/>
    <m/>
    <m/>
    <m/>
    <s v="Lhaovao Baptist Church (LBC)"/>
    <s v="MMR001CMP195"/>
    <s v="GCA"/>
    <m/>
    <m/>
    <n v="95.4"/>
    <n v="477"/>
    <n v="5"/>
    <s v=""/>
    <m/>
    <m/>
    <m/>
  </r>
  <r>
    <n v="19"/>
    <m/>
    <x v="0"/>
    <x v="0"/>
    <m/>
    <x v="1"/>
    <m/>
    <m/>
    <m/>
    <m/>
    <m/>
    <s v="Women's Affairs Association Building"/>
    <s v="MMR001CMP044"/>
    <s v="GCA"/>
    <m/>
    <m/>
    <s v=""/>
    <s v=""/>
    <s v=""/>
    <m/>
    <m/>
    <m/>
    <m/>
  </r>
  <r>
    <n v="21"/>
    <m/>
    <x v="0"/>
    <x v="0"/>
    <m/>
    <x v="2"/>
    <m/>
    <m/>
    <m/>
    <m/>
    <m/>
    <s v="5 Ward Baptist Church(lon Khin)"/>
    <s v="MMR001CMP179"/>
    <s v="GCA"/>
    <n v="96.35527"/>
    <n v="25.65613"/>
    <n v="164"/>
    <n v="546"/>
    <n v="3.3292682926829267"/>
    <s v="KBC"/>
    <m/>
    <m/>
    <m/>
  </r>
  <r>
    <n v="22"/>
    <m/>
    <x v="0"/>
    <x v="0"/>
    <m/>
    <x v="2"/>
    <m/>
    <m/>
    <m/>
    <m/>
    <m/>
    <s v="5 Ward RC Church(lon Khin)"/>
    <s v="MMR001CMP168"/>
    <s v="GCA"/>
    <n v="96.35307"/>
    <n v="25.65582"/>
    <n v="164"/>
    <n v="649"/>
    <n v="3.957317073170732"/>
    <s v=""/>
    <m/>
    <m/>
    <m/>
  </r>
  <r>
    <n v="23"/>
    <m/>
    <x v="0"/>
    <x v="0"/>
    <m/>
    <x v="2"/>
    <m/>
    <m/>
    <m/>
    <m/>
    <m/>
    <s v="AG Church, Hmaw Si Sa"/>
    <s v="MMR001CMP176"/>
    <s v="GCA"/>
    <n v="96.34557"/>
    <n v="25.6353"/>
    <n v="42"/>
    <n v="190"/>
    <n v="4.523809523809524"/>
    <s v=""/>
    <m/>
    <m/>
    <m/>
  </r>
  <r>
    <n v="24"/>
    <m/>
    <x v="0"/>
    <x v="0"/>
    <m/>
    <x v="2"/>
    <m/>
    <m/>
    <m/>
    <m/>
    <m/>
    <s v="AG Church, Maw Wan"/>
    <s v="MMR001CMP190"/>
    <s v="GCA"/>
    <n v="96.31735"/>
    <n v="25.616509"/>
    <n v="20"/>
    <n v="90"/>
    <n v="4.5"/>
    <s v=""/>
    <m/>
    <m/>
    <m/>
  </r>
  <r>
    <n v="26"/>
    <m/>
    <x v="0"/>
    <x v="0"/>
    <m/>
    <x v="2"/>
    <m/>
    <m/>
    <m/>
    <m/>
    <m/>
    <s v="Association of Christ, Nam Ma Phyit"/>
    <s v="MMR001CMP192"/>
    <s v="GCA"/>
    <n v="96.33959"/>
    <n v="25.617998"/>
    <n v="29"/>
    <n v="98"/>
    <n v="3.3793103448275863"/>
    <s v=""/>
    <m/>
    <m/>
    <m/>
  </r>
  <r>
    <n v="29"/>
    <m/>
    <x v="0"/>
    <x v="0"/>
    <m/>
    <x v="2"/>
    <m/>
    <m/>
    <m/>
    <m/>
    <m/>
    <s v="Baptist Church, Hmaw Si Sar(Lon Khin)"/>
    <s v="MMR001CMP169"/>
    <s v="GCA"/>
    <n v="96.34647"/>
    <n v="25.64765"/>
    <n v="107"/>
    <n v="441"/>
    <n v="4.121495327102804"/>
    <s v="KBC"/>
    <m/>
    <m/>
    <m/>
  </r>
  <r>
    <n v="30"/>
    <m/>
    <x v="0"/>
    <x v="0"/>
    <m/>
    <x v="2"/>
    <m/>
    <m/>
    <m/>
    <m/>
    <m/>
    <s v="Baptist Church, Naung Hmee VT"/>
    <s v="MMR001CMP188"/>
    <s v="GCA"/>
    <n v="96.673805"/>
    <n v="25.728653"/>
    <n v="16"/>
    <n v="68"/>
    <n v="4.25"/>
    <s v=""/>
    <m/>
    <m/>
    <m/>
  </r>
  <r>
    <n v="31"/>
    <m/>
    <x v="0"/>
    <x v="0"/>
    <m/>
    <x v="2"/>
    <m/>
    <m/>
    <m/>
    <m/>
    <m/>
    <s v="Baptist Church, Sai Ra village"/>
    <s v="MMR001CMP172"/>
    <s v="GCA"/>
    <m/>
    <m/>
    <n v="11"/>
    <n v="43"/>
    <n v="3.909090909090909"/>
    <s v="KBC"/>
    <m/>
    <m/>
    <m/>
  </r>
  <r>
    <n v="32"/>
    <m/>
    <x v="0"/>
    <x v="0"/>
    <m/>
    <x v="2"/>
    <m/>
    <m/>
    <m/>
    <m/>
    <m/>
    <s v="Chin Church, Seik Mu"/>
    <s v="MMR001CMP109"/>
    <s v="GCA"/>
    <n v="96.283377"/>
    <n v="25.582065"/>
    <n v="9"/>
    <n v="35"/>
    <n v="3.888888888888889"/>
    <s v=""/>
    <m/>
    <m/>
    <m/>
  </r>
  <r>
    <n v="34"/>
    <m/>
    <x v="0"/>
    <x v="0"/>
    <m/>
    <x v="2"/>
    <m/>
    <m/>
    <m/>
    <m/>
    <m/>
    <s v="Dhama Rakhita, Nyein Chan Tar Yar Ward(Lon Khin)"/>
    <s v="MMR001CMP174"/>
    <s v="GCA"/>
    <n v="96.35493"/>
    <n v="25.64309"/>
    <n v="59"/>
    <n v="282"/>
    <n v="4.779661016949152"/>
    <s v=""/>
    <m/>
    <m/>
    <m/>
  </r>
  <r>
    <n v="37"/>
    <m/>
    <x v="0"/>
    <x v="0"/>
    <m/>
    <x v="2"/>
    <m/>
    <m/>
    <m/>
    <m/>
    <m/>
    <s v="Hlaing Naung Baptist"/>
    <s v="MMR001CMP148"/>
    <s v="GCA"/>
    <n v="96.70596"/>
    <n v="25.51352"/>
    <n v="15"/>
    <n v="47"/>
    <n v="3.1333333333333333"/>
    <s v=""/>
    <m/>
    <m/>
    <m/>
  </r>
  <r>
    <n v="38"/>
    <m/>
    <x v="0"/>
    <x v="0"/>
    <m/>
    <x v="2"/>
    <m/>
    <m/>
    <m/>
    <m/>
    <m/>
    <s v="Hmaw Wan, Anglican"/>
    <s v="MMR001CMP191"/>
    <s v="GCA"/>
    <n v="96.316564"/>
    <n v="25.615961"/>
    <n v="28"/>
    <n v="148"/>
    <n v="5.285714285714286"/>
    <s v=""/>
    <m/>
    <m/>
    <m/>
  </r>
  <r>
    <n v="40"/>
    <m/>
    <x v="0"/>
    <x v="0"/>
    <m/>
    <x v="2"/>
    <m/>
    <m/>
    <m/>
    <m/>
    <m/>
    <s v="Lisu Baptist Church, Maw Shan Vil,. Seik Mu"/>
    <s v="MMR001CMP181"/>
    <s v="GCA"/>
    <m/>
    <m/>
    <n v="37"/>
    <n v="116"/>
    <n v="3.135135135135135"/>
    <s v=""/>
    <m/>
    <m/>
    <m/>
  </r>
  <r>
    <n v="41"/>
    <m/>
    <x v="0"/>
    <x v="0"/>
    <m/>
    <x v="2"/>
    <m/>
    <m/>
    <m/>
    <m/>
    <m/>
    <s v="Lisu Baptist Church, Maw Wan Ward"/>
    <s v="MMR001CMP167"/>
    <s v="GCA"/>
    <n v="96.3164"/>
    <n v="25.61842"/>
    <n v="11"/>
    <n v="40"/>
    <n v="3.6363636363636362"/>
    <s v=""/>
    <m/>
    <m/>
    <m/>
  </r>
  <r>
    <n v="55"/>
    <m/>
    <x v="0"/>
    <x v="0"/>
    <m/>
    <x v="2"/>
    <m/>
    <m/>
    <m/>
    <m/>
    <m/>
    <s v="Maw Wan, Mu-yin Baptist Church"/>
    <s v="MMR001CMP091"/>
    <s v="GCA"/>
    <n v="96.319688"/>
    <n v="25.615202"/>
    <n v="28"/>
    <n v="82"/>
    <n v="2.9285714285714284"/>
    <s v=""/>
    <m/>
    <m/>
    <m/>
  </r>
  <r>
    <n v="58"/>
    <m/>
    <x v="0"/>
    <x v="0"/>
    <m/>
    <x v="2"/>
    <m/>
    <m/>
    <m/>
    <m/>
    <m/>
    <s v="Muring Baptist Church, Awng Ra, Wa Ra Zut VT"/>
    <s v="MMR001CMP177"/>
    <s v="GCA"/>
    <n v="96.35416"/>
    <n v="25.65867"/>
    <n v="26"/>
    <n v="55"/>
    <n v="2.1153846153846154"/>
    <s v=""/>
    <m/>
    <m/>
    <m/>
  </r>
  <r>
    <n v="59"/>
    <m/>
    <x v="0"/>
    <x v="0"/>
    <m/>
    <x v="2"/>
    <m/>
    <m/>
    <m/>
    <m/>
    <m/>
    <s v="Nant Ma Hpit Catholic Church"/>
    <s v="MMR001CMP103"/>
    <s v="GCA"/>
    <n v="96.341353"/>
    <n v="25.613895"/>
    <n v="96"/>
    <n v="332"/>
    <n v="3.4583333333333335"/>
    <s v=""/>
    <m/>
    <m/>
    <m/>
  </r>
  <r>
    <n v="60"/>
    <m/>
    <x v="0"/>
    <x v="0"/>
    <m/>
    <x v="2"/>
    <m/>
    <m/>
    <m/>
    <m/>
    <m/>
    <s v="Nga Pyaw Taw Baptist Nursery School "/>
    <s v="MMR001CMP082"/>
    <s v="GCA"/>
    <n v="96.31279"/>
    <n v="25.61116"/>
    <n v="143"/>
    <n v="543"/>
    <n v="3.797202797202797"/>
    <s v="KBC"/>
    <m/>
    <m/>
    <m/>
  </r>
  <r>
    <n v="63"/>
    <m/>
    <x v="0"/>
    <x v="0"/>
    <m/>
    <x v="2"/>
    <m/>
    <m/>
    <m/>
    <m/>
    <m/>
    <s v="Rawan Baptist Church, Maw Shan Vil., Seik Mu"/>
    <s v="MMR001CMP182"/>
    <s v="GCA"/>
    <n v="96.2792"/>
    <n v="25.56551"/>
    <n v="7"/>
    <n v="30"/>
    <n v="4.285714285714286"/>
    <s v=""/>
    <m/>
    <m/>
    <m/>
  </r>
  <r>
    <n v="65"/>
    <m/>
    <x v="0"/>
    <x v="0"/>
    <m/>
    <x v="2"/>
    <m/>
    <m/>
    <m/>
    <m/>
    <m/>
    <s v="Sai Nai Baptish Church, Maw Shan Vil., Seki Mu"/>
    <s v="MMR001CMP183"/>
    <s v="GCA"/>
    <n v="96.35303"/>
    <n v="25.6684"/>
    <n v="60"/>
    <n v="198"/>
    <n v="3.3"/>
    <s v="KBC"/>
    <m/>
    <m/>
    <m/>
  </r>
  <r>
    <n v="69"/>
    <m/>
    <x v="0"/>
    <x v="0"/>
    <m/>
    <x v="2"/>
    <m/>
    <m/>
    <m/>
    <m/>
    <m/>
    <s v="Ward 2 Cahotlic Church, Seik Mu"/>
    <s v="MMR001CMP185"/>
    <s v="GCA"/>
    <n v="96.28825"/>
    <n v="25.57921"/>
    <n v="75"/>
    <n v="288"/>
    <n v="3.84"/>
    <s v=""/>
    <m/>
    <m/>
    <m/>
  </r>
  <r>
    <n v="70"/>
    <m/>
    <x v="0"/>
    <x v="0"/>
    <m/>
    <x v="2"/>
    <m/>
    <m/>
    <m/>
    <m/>
    <m/>
    <s v="Ward 2 Sai Taung Baptist Church, Seik Mu "/>
    <s v="MMR001CMP184"/>
    <s v="GCA"/>
    <n v="96.28668"/>
    <n v="25.57756"/>
    <n v="134"/>
    <n v="503"/>
    <n v="3.753731343283582"/>
    <s v=""/>
    <m/>
    <m/>
    <m/>
  </r>
  <r>
    <n v="72"/>
    <m/>
    <x v="0"/>
    <x v="0"/>
    <m/>
    <x v="2"/>
    <m/>
    <m/>
    <m/>
    <m/>
    <m/>
    <s v="Yumar Baptist Church"/>
    <s v="MMR001CMP105"/>
    <s v="GCA"/>
    <n v="96.306911"/>
    <n v="25.59925"/>
    <n v="49"/>
    <n v="245"/>
    <n v="5"/>
    <s v="KBC"/>
    <m/>
    <m/>
    <m/>
  </r>
  <r>
    <n v="73"/>
    <m/>
    <x v="0"/>
    <x v="0"/>
    <m/>
    <x v="3"/>
    <m/>
    <m/>
    <m/>
    <m/>
    <m/>
    <s v="Lawk Hkawng Ginwang"/>
    <s v="MMR001CMP146"/>
    <s v="GCA"/>
    <m/>
    <m/>
    <s v=""/>
    <s v=""/>
    <s v=""/>
    <m/>
    <m/>
    <m/>
    <m/>
  </r>
  <r>
    <n v="74"/>
    <m/>
    <x v="0"/>
    <x v="0"/>
    <m/>
    <x v="4"/>
    <m/>
    <m/>
    <m/>
    <m/>
    <m/>
    <s v="La Ja"/>
    <s v="MMR001CMP074"/>
    <s v="GCA"/>
    <m/>
    <m/>
    <n v="22"/>
    <n v="107"/>
    <n v="4.863636363636363"/>
    <s v=""/>
    <m/>
    <m/>
    <m/>
  </r>
  <r>
    <n v="75"/>
    <m/>
    <x v="0"/>
    <x v="0"/>
    <m/>
    <x v="5"/>
    <m/>
    <m/>
    <m/>
    <m/>
    <m/>
    <s v="Kone Khem Camp"/>
    <s v="MMR015CMP015"/>
    <s v="GCA"/>
    <m/>
    <m/>
    <s v=""/>
    <s v=""/>
    <s v=""/>
    <m/>
    <m/>
    <m/>
    <m/>
  </r>
  <r>
    <n v="76"/>
    <m/>
    <x v="0"/>
    <x v="0"/>
    <m/>
    <x v="5"/>
    <m/>
    <m/>
    <m/>
    <m/>
    <m/>
    <s v="Kutkai downtown (KBC Church)"/>
    <s v="MMR015CMP016"/>
    <s v="GCA"/>
    <n v="97.554308"/>
    <n v="23.271719"/>
    <s v=""/>
    <s v=""/>
    <s v="KBC"/>
    <m/>
    <m/>
    <m/>
    <m/>
  </r>
  <r>
    <n v="77"/>
    <m/>
    <x v="0"/>
    <x v="0"/>
    <m/>
    <x v="5"/>
    <m/>
    <m/>
    <m/>
    <m/>
    <m/>
    <s v="Kutkai downtown (RC Church)"/>
    <s v="MMR015CMP017"/>
    <s v="GCA"/>
    <n v="97.565616"/>
    <n v="23.273361"/>
    <s v=""/>
    <s v=""/>
    <s v=""/>
    <m/>
    <m/>
    <m/>
    <m/>
  </r>
  <r>
    <n v="78"/>
    <m/>
    <x v="0"/>
    <x v="0"/>
    <m/>
    <x v="5"/>
    <m/>
    <m/>
    <m/>
    <m/>
    <m/>
    <s v="Mine Yu Lay village"/>
    <s v="MMR015CMP018"/>
    <s v="GCA"/>
    <n v="97.474306"/>
    <n v="23.352518"/>
    <s v=""/>
    <s v=""/>
    <s v=""/>
    <m/>
    <m/>
    <m/>
    <m/>
  </r>
  <r>
    <n v="79"/>
    <m/>
    <x v="0"/>
    <x v="0"/>
    <m/>
    <x v="5"/>
    <m/>
    <m/>
    <m/>
    <m/>
    <m/>
    <s v="Mungji Pa Dabang (Baptist Church)         "/>
    <s v="MMR015CMP006"/>
    <s v="NGCA"/>
    <n v="98.220615"/>
    <n v="23.400156"/>
    <n v="67"/>
    <n v="296"/>
    <n v="4.417910447761194"/>
    <s v="KBC"/>
    <m/>
    <m/>
    <m/>
  </r>
  <r>
    <n v="80"/>
    <m/>
    <x v="0"/>
    <x v="0"/>
    <m/>
    <x v="5"/>
    <m/>
    <m/>
    <m/>
    <m/>
    <m/>
    <s v="Mungji Pa Dabang (RC Church)         "/>
    <s v="MMR015CMP019"/>
    <s v="GCA"/>
    <n v="98.213958"/>
    <n v="23.391741"/>
    <s v=""/>
    <s v=""/>
    <s v=""/>
    <m/>
    <m/>
    <m/>
    <m/>
  </r>
  <r>
    <n v="81"/>
    <m/>
    <x v="0"/>
    <x v="0"/>
    <m/>
    <x v="5"/>
    <m/>
    <m/>
    <m/>
    <m/>
    <m/>
    <s v="Nam Hpak Ka Mare "/>
    <s v="MMR015CMP007"/>
    <s v="NGCA"/>
    <n v="97.49075"/>
    <n v="23.413949"/>
    <n v="81"/>
    <n v="275"/>
    <n v="3.3950617283950617"/>
    <s v="KBC"/>
    <m/>
    <m/>
    <m/>
  </r>
  <r>
    <n v="82"/>
    <m/>
    <x v="0"/>
    <x v="0"/>
    <m/>
    <x v="5"/>
    <m/>
    <m/>
    <m/>
    <m/>
    <m/>
    <s v="Zup Aung Camp"/>
    <s v="MMR015CMP020"/>
    <s v="GCA"/>
    <m/>
    <m/>
    <s v=""/>
    <s v=""/>
    <s v=""/>
    <m/>
    <m/>
    <m/>
    <m/>
  </r>
  <r>
    <n v="83"/>
    <m/>
    <x v="0"/>
    <x v="0"/>
    <m/>
    <x v="6"/>
    <m/>
    <m/>
    <m/>
    <m/>
    <m/>
    <s v="Host Families"/>
    <s v="MMR001CMP196"/>
    <s v="GCA"/>
    <m/>
    <m/>
    <n v="278"/>
    <n v="1011"/>
    <n v="3.6366906474820144"/>
    <s v=""/>
    <m/>
    <m/>
    <m/>
  </r>
  <r>
    <n v="84"/>
    <m/>
    <x v="0"/>
    <x v="0"/>
    <m/>
    <x v="6"/>
    <m/>
    <m/>
    <m/>
    <m/>
    <m/>
    <s v="Lung Kawk  ( Hka Hkye Zup)"/>
    <s v="MMR001CMP135"/>
    <s v="NGCA"/>
    <n v="97.585667"/>
    <n v="23.9055"/>
    <n v="89"/>
    <n v="346"/>
    <n v="3.8876404494382024"/>
    <s v="Ranir"/>
    <m/>
    <m/>
    <m/>
  </r>
  <r>
    <n v="85"/>
    <m/>
    <x v="0"/>
    <x v="0"/>
    <m/>
    <x v="6"/>
    <m/>
    <m/>
    <m/>
    <m/>
    <m/>
    <s v="Man Wing Baptist Church"/>
    <s v="MMR001CMP133"/>
    <s v="NGCA"/>
    <m/>
    <m/>
    <n v="114"/>
    <n v="549"/>
    <n v="4.815789473684211"/>
    <s v="KBC"/>
    <m/>
    <m/>
    <m/>
  </r>
  <r>
    <n v="86"/>
    <m/>
    <x v="0"/>
    <x v="0"/>
    <m/>
    <x v="6"/>
    <m/>
    <m/>
    <m/>
    <m/>
    <m/>
    <s v="Man Wing Catholic Church"/>
    <s v="MMR001CMP132"/>
    <s v="NGCA"/>
    <n v="97.33463"/>
    <n v="23.51491"/>
    <n v="308"/>
    <n v="1515"/>
    <n v="4.9188311688311686"/>
    <s v="KBSS"/>
    <m/>
    <m/>
    <m/>
  </r>
  <r>
    <n v="87"/>
    <m/>
    <x v="0"/>
    <x v="0"/>
    <m/>
    <x v="6"/>
    <m/>
    <m/>
    <m/>
    <m/>
    <m/>
    <s v="Man Wing Host Families"/>
    <s v="MMR001CMP134"/>
    <s v="NGCA"/>
    <m/>
    <m/>
    <n v="262"/>
    <n v="1300"/>
    <n v="4.961832061068702"/>
    <s v=""/>
    <m/>
    <m/>
    <m/>
  </r>
  <r>
    <n v="88"/>
    <m/>
    <x v="0"/>
    <x v="0"/>
    <m/>
    <x v="6"/>
    <m/>
    <m/>
    <m/>
    <m/>
    <m/>
    <s v="Mansi Baptist Church"/>
    <s v="MMR001CMP066"/>
    <s v="GCA"/>
    <n v="97.29182"/>
    <n v="24.12906"/>
    <n v="84"/>
    <n v="348"/>
    <n v="4.142857142857143"/>
    <s v="UNHCR"/>
    <m/>
    <m/>
    <m/>
  </r>
  <r>
    <n v="89"/>
    <m/>
    <x v="0"/>
    <x v="0"/>
    <m/>
    <x v="6"/>
    <m/>
    <m/>
    <m/>
    <m/>
    <m/>
    <s v="Nam Hka Mare (west of Man Wing)"/>
    <s v="MMR001CMP136"/>
    <s v="NGCA"/>
    <m/>
    <m/>
    <n v="73"/>
    <n v="637"/>
    <n v="8.726027397260275"/>
    <s v=""/>
    <m/>
    <m/>
    <m/>
  </r>
  <r>
    <n v="90"/>
    <m/>
    <x v="0"/>
    <x v="0"/>
    <m/>
    <x v="6"/>
    <m/>
    <m/>
    <m/>
    <m/>
    <m/>
    <s v="Nam Lim Pa - Scattered IDPs in forest"/>
    <s v="MMR001CMP137"/>
    <s v="NGCA"/>
    <m/>
    <m/>
    <n v="193"/>
    <n v="911"/>
    <n v="4.72020725388601"/>
    <s v="KBSS"/>
    <m/>
    <m/>
    <m/>
  </r>
  <r>
    <n v="94"/>
    <m/>
    <x v="0"/>
    <x v="0"/>
    <m/>
    <x v="7"/>
    <m/>
    <m/>
    <m/>
    <m/>
    <m/>
    <s v="Mandung - Jinghpaw"/>
    <s v="MMR015CMP009"/>
    <s v="NGCA"/>
    <m/>
    <m/>
    <n v="53"/>
    <n v="260"/>
    <n v="4.90566037735849"/>
    <s v="KBC"/>
    <m/>
    <m/>
    <m/>
  </r>
  <r>
    <n v="95"/>
    <m/>
    <x v="0"/>
    <x v="0"/>
    <m/>
    <x v="7"/>
    <m/>
    <m/>
    <m/>
    <m/>
    <m/>
    <s v="Howa"/>
    <s v="MMR015CMP010"/>
    <s v="GCA"/>
    <m/>
    <m/>
    <s v=""/>
    <s v=""/>
    <s v=""/>
    <m/>
    <m/>
    <m/>
    <m/>
  </r>
  <r>
    <n v="96"/>
    <m/>
    <x v="0"/>
    <x v="0"/>
    <m/>
    <x v="7"/>
    <m/>
    <m/>
    <m/>
    <m/>
    <m/>
    <s v="Nam Hkyet"/>
    <s v="MMR015CMP011"/>
    <s v="GCA"/>
    <m/>
    <m/>
    <s v=""/>
    <s v=""/>
    <s v="KBSS"/>
    <m/>
    <m/>
    <m/>
    <m/>
  </r>
  <r>
    <n v="97"/>
    <m/>
    <x v="0"/>
    <x v="0"/>
    <m/>
    <x v="8"/>
    <m/>
    <m/>
    <m/>
    <m/>
    <m/>
    <s v="Kyun Taw Baptist Church "/>
    <s v="MMR001CMP078"/>
    <s v="GCA"/>
    <n v="96.92262"/>
    <n v="25.30567"/>
    <n v="15"/>
    <n v="69"/>
    <n v="4.6"/>
    <s v="KBC"/>
    <m/>
    <m/>
    <m/>
  </r>
  <r>
    <n v="98"/>
    <m/>
    <x v="0"/>
    <x v="0"/>
    <m/>
    <x v="8"/>
    <m/>
    <m/>
    <m/>
    <m/>
    <m/>
    <s v="Mang Hawng Baptist Church"/>
    <s v="MMR001CMP077"/>
    <s v="GCA"/>
    <n v="96.94228"/>
    <n v="25.29658"/>
    <n v="16"/>
    <n v="69"/>
    <n v="4.3125"/>
    <s v="KBC"/>
    <m/>
    <m/>
    <m/>
  </r>
  <r>
    <n v="99"/>
    <m/>
    <x v="0"/>
    <x v="0"/>
    <m/>
    <x v="8"/>
    <m/>
    <m/>
    <m/>
    <m/>
    <m/>
    <s v="Nat Gyi Kone Baptist Church "/>
    <s v="MMR001CMP079"/>
    <s v="GCA"/>
    <n v="96.94874"/>
    <n v="25.30442"/>
    <n v="14"/>
    <n v="50"/>
    <n v="3.5714285714285716"/>
    <s v="KBC"/>
    <m/>
    <m/>
    <m/>
  </r>
  <r>
    <n v="100"/>
    <m/>
    <x v="0"/>
    <x v="0"/>
    <m/>
    <x v="9"/>
    <m/>
    <m/>
    <m/>
    <m/>
    <m/>
    <s v="Nant Mun"/>
    <s v="MMR001CMP081"/>
    <s v="GCA"/>
    <n v="96.36495"/>
    <n v="24.99835"/>
    <n v="22"/>
    <n v="101"/>
    <n v="4.590909090909091"/>
    <s v=""/>
    <m/>
    <m/>
    <m/>
  </r>
  <r>
    <n v="101"/>
    <m/>
    <x v="0"/>
    <x v="0"/>
    <m/>
    <x v="9"/>
    <m/>
    <m/>
    <m/>
    <m/>
    <m/>
    <s v="Nawng Ing (Indawgyi) Baptist Church  "/>
    <s v="MMR001CMP152"/>
    <s v="GCA"/>
    <m/>
    <m/>
    <s v=""/>
    <s v=""/>
    <s v="KBC"/>
    <m/>
    <m/>
    <m/>
    <m/>
  </r>
  <r>
    <n v="102"/>
    <m/>
    <x v="0"/>
    <x v="0"/>
    <m/>
    <x v="9"/>
    <m/>
    <m/>
    <m/>
    <m/>
    <m/>
    <s v="St. Patrick Catholic Church "/>
    <s v="MMR001CMP080"/>
    <s v="GCA"/>
    <n v="96.36706"/>
    <n v="24.7648"/>
    <n v="12"/>
    <n v="42"/>
    <n v="3.5"/>
    <s v=""/>
    <m/>
    <m/>
    <m/>
  </r>
  <r>
    <n v="103"/>
    <m/>
    <x v="0"/>
    <x v="0"/>
    <m/>
    <x v="10"/>
    <m/>
    <m/>
    <m/>
    <m/>
    <m/>
    <s v="Bum Tsit Pa "/>
    <s v="MMR001CMP129"/>
    <s v="NGCA"/>
    <n v="97.609833"/>
    <n v="24.002433"/>
    <n v="173"/>
    <n v="832"/>
    <n v="4.809248554913295"/>
    <s v="KBSS, Ranir"/>
    <m/>
    <m/>
    <m/>
  </r>
  <r>
    <n v="104"/>
    <m/>
    <x v="0"/>
    <x v="0"/>
    <m/>
    <x v="10"/>
    <m/>
    <m/>
    <m/>
    <m/>
    <m/>
    <s v="Dum Bung "/>
    <s v="MMR001CMP123"/>
    <s v="NGCA"/>
    <n v="97.5371"/>
    <n v="24.461033"/>
    <n v="125"/>
    <n v="599"/>
    <n v="4.792"/>
    <s v="KMSS, Ranir"/>
    <m/>
    <m/>
    <m/>
  </r>
  <r>
    <n v="105"/>
    <m/>
    <x v="0"/>
    <x v="0"/>
    <m/>
    <x v="10"/>
    <m/>
    <m/>
    <m/>
    <m/>
    <m/>
    <s v="Hpun Lum Yang "/>
    <s v="MMR001CMP122"/>
    <s v="NGCA"/>
    <n v="97.573167"/>
    <n v="24.661467"/>
    <n v="437"/>
    <n v="2101"/>
    <n v="4.807780320366133"/>
    <s v="KBSS, Ranir"/>
    <m/>
    <m/>
    <m/>
  </r>
  <r>
    <n v="106"/>
    <m/>
    <x v="0"/>
    <x v="0"/>
    <m/>
    <x v="10"/>
    <m/>
    <m/>
    <m/>
    <m/>
    <m/>
    <s v="Je Yang Hka "/>
    <s v="MMR001CMP121"/>
    <s v="NGCA"/>
    <n v="97.568283"/>
    <n v="24.688167"/>
    <n v="1632"/>
    <n v="8446"/>
    <n v="5.175245098039215"/>
    <s v="KBSS, Ranir"/>
    <m/>
    <m/>
    <m/>
  </r>
  <r>
    <n v="107"/>
    <m/>
    <x v="0"/>
    <x v="0"/>
    <m/>
    <x v="10"/>
    <m/>
    <m/>
    <m/>
    <m/>
    <m/>
    <s v="Lana Zup Ja "/>
    <s v="MMR001CMP128"/>
    <s v="NGCA"/>
    <n v="97.625617"/>
    <n v="24.056133"/>
    <n v="608"/>
    <n v="2703"/>
    <n v="4.4457236842105265"/>
    <s v="KBSS, Ranir"/>
    <m/>
    <m/>
    <m/>
  </r>
  <r>
    <n v="108"/>
    <m/>
    <x v="0"/>
    <x v="0"/>
    <m/>
    <x v="10"/>
    <m/>
    <m/>
    <m/>
    <m/>
    <m/>
    <s v="Nhkawng Pa "/>
    <s v="MMR001CMP131"/>
    <s v="NGCA"/>
    <n v="97.669367"/>
    <n v="24.378167"/>
    <n v="380"/>
    <n v="1701"/>
    <n v="4.476315789473684"/>
    <s v="KBSS, Ranir"/>
    <m/>
    <m/>
    <m/>
  </r>
  <r>
    <n v="109"/>
    <m/>
    <x v="0"/>
    <x v="0"/>
    <m/>
    <x v="10"/>
    <m/>
    <m/>
    <m/>
    <m/>
    <m/>
    <s v="Pa Kahtawng "/>
    <s v="MMR001CMP126"/>
    <s v="NGCA"/>
    <n v="97.752667"/>
    <n v="24.2744"/>
    <n v="486"/>
    <n v="2699"/>
    <n v="5.553497942386831"/>
    <s v="KBSS, Ranir"/>
    <m/>
    <m/>
    <m/>
  </r>
  <r>
    <n v="110"/>
    <m/>
    <x v="0"/>
    <x v="0"/>
    <m/>
    <x v="10"/>
    <m/>
    <m/>
    <m/>
    <m/>
    <m/>
    <s v="Host Families"/>
    <s v="MMR001CMP197"/>
    <s v="GCA"/>
    <m/>
    <m/>
    <n v="421"/>
    <n v="1369"/>
    <n v="3.2517814726840855"/>
    <s v=""/>
    <m/>
    <m/>
    <m/>
  </r>
  <r>
    <n v="111"/>
    <m/>
    <x v="0"/>
    <x v="0"/>
    <m/>
    <x v="10"/>
    <m/>
    <m/>
    <m/>
    <m/>
    <m/>
    <s v="Loi Je Baptist Church"/>
    <s v="MMR001CMP071"/>
    <s v="GCA"/>
    <n v="97.718583"/>
    <n v="24.200972"/>
    <n v="19"/>
    <n v="106"/>
    <n v="5.578947368421052"/>
    <s v="UNHCR"/>
    <m/>
    <m/>
    <m/>
  </r>
  <r>
    <n v="112"/>
    <m/>
    <x v="0"/>
    <x v="0"/>
    <m/>
    <x v="10"/>
    <m/>
    <m/>
    <m/>
    <m/>
    <m/>
    <s v="Loi Je Catholic Church"/>
    <s v="MMR001CMP069"/>
    <s v="GCA"/>
    <n v="97.724567"/>
    <n v="24.205417"/>
    <n v="59"/>
    <n v="281"/>
    <n v="4.762711864406779"/>
    <s v="KBSS"/>
    <m/>
    <m/>
    <m/>
  </r>
  <r>
    <n v="113"/>
    <m/>
    <x v="0"/>
    <x v="0"/>
    <m/>
    <x v="10"/>
    <m/>
    <m/>
    <m/>
    <m/>
    <m/>
    <s v="Loi Je Lisu Camp"/>
    <s v="MMR001CMP070"/>
    <s v="GCA"/>
    <n v="97.717133"/>
    <n v="24.200433"/>
    <n v="127"/>
    <n v="631"/>
    <n v="4.968503937007874"/>
    <s v="UNHCR"/>
    <m/>
    <m/>
    <m/>
  </r>
  <r>
    <n v="114"/>
    <m/>
    <x v="0"/>
    <x v="0"/>
    <m/>
    <x v="10"/>
    <m/>
    <m/>
    <m/>
    <m/>
    <m/>
    <s v="Mai Khat "/>
    <s v="MMR001CMP064"/>
    <s v="GCA"/>
    <m/>
    <m/>
    <n v="2"/>
    <n v="9"/>
    <n v="4.5"/>
    <s v=""/>
    <m/>
    <m/>
    <m/>
  </r>
  <r>
    <n v="115"/>
    <m/>
    <x v="0"/>
    <x v="0"/>
    <m/>
    <x v="10"/>
    <m/>
    <m/>
    <m/>
    <m/>
    <m/>
    <s v="Man Bung Catholic compound"/>
    <s v="MMR001CMP062"/>
    <s v="GCA"/>
    <n v="97.32502"/>
    <n v="24.2451"/>
    <n v="18"/>
    <n v="65"/>
    <n v="3.611111111111111"/>
    <s v="KBSS"/>
    <m/>
    <m/>
    <m/>
  </r>
  <r>
    <n v="116"/>
    <m/>
    <x v="0"/>
    <x v="0"/>
    <m/>
    <x v="10"/>
    <m/>
    <m/>
    <m/>
    <m/>
    <m/>
    <s v="Man Nawng "/>
    <s v="MMR001CMP063"/>
    <s v="GCA"/>
    <n v="97.32166"/>
    <n v="24.41"/>
    <n v="28"/>
    <n v="136"/>
    <n v="4.857142857142857"/>
    <s v=""/>
    <m/>
    <m/>
    <m/>
  </r>
  <r>
    <n v="117"/>
    <m/>
    <x v="0"/>
    <x v="0"/>
    <m/>
    <x v="10"/>
    <m/>
    <m/>
    <m/>
    <m/>
    <m/>
    <s v="Man Ting"/>
    <s v="MMR001CMP198"/>
    <s v="GCA"/>
    <m/>
    <m/>
    <s v=""/>
    <s v=""/>
    <s v=""/>
    <m/>
    <m/>
    <m/>
    <m/>
  </r>
  <r>
    <n v="118"/>
    <m/>
    <x v="0"/>
    <x v="0"/>
    <m/>
    <x v="10"/>
    <m/>
    <m/>
    <m/>
    <m/>
    <m/>
    <s v="Mandalay Monestry"/>
    <s v="MMR001CMP058"/>
    <s v="GCA"/>
    <n v="97.34694"/>
    <n v="24.25186"/>
    <n v="8"/>
    <n v="25"/>
    <n v="3.125"/>
    <s v="UNHCR"/>
    <m/>
    <m/>
    <m/>
  </r>
  <r>
    <n v="119"/>
    <m/>
    <x v="0"/>
    <x v="0"/>
    <m/>
    <x v="10"/>
    <m/>
    <m/>
    <m/>
    <m/>
    <m/>
    <s v="Momauk Baptist Church"/>
    <s v="MMR001CMP056"/>
    <s v="GCA"/>
    <n v="97.34436"/>
    <n v="24.25069"/>
    <n v="384"/>
    <n v="1502"/>
    <n v="3.9114583333333335"/>
    <s v="UNHCR"/>
    <m/>
    <m/>
    <m/>
  </r>
  <r>
    <n v="120"/>
    <m/>
    <x v="0"/>
    <x v="0"/>
    <m/>
    <x v="10"/>
    <m/>
    <m/>
    <m/>
    <m/>
    <m/>
    <s v="Momauk Catholic Church (St. Patrick)"/>
    <s v="MMR001CMP057"/>
    <s v="GCA"/>
    <n v="97.34695"/>
    <n v="24.25177"/>
    <n v="285"/>
    <n v="1036"/>
    <n v="3.635087719298246"/>
    <s v="KBSS"/>
    <m/>
    <m/>
    <m/>
  </r>
  <r>
    <n v="121"/>
    <m/>
    <x v="0"/>
    <x v="0"/>
    <m/>
    <x v="10"/>
    <m/>
    <m/>
    <m/>
    <m/>
    <m/>
    <s v="Myo Thit "/>
    <s v="MMR001CMP061"/>
    <s v="GCA"/>
    <m/>
    <m/>
    <n v="13"/>
    <n v="53"/>
    <n v="4.076923076923077"/>
    <s v=""/>
    <m/>
    <m/>
    <m/>
  </r>
  <r>
    <n v="122"/>
    <m/>
    <x v="0"/>
    <x v="0"/>
    <m/>
    <x v="10"/>
    <m/>
    <m/>
    <m/>
    <m/>
    <m/>
    <s v="Ni Thaw Ka Monestry"/>
    <s v="MMR001CMP059"/>
    <s v="GCA"/>
    <n v="97.34774"/>
    <n v="24.25377"/>
    <n v="26"/>
    <n v="101"/>
    <n v="3.8846153846153846"/>
    <s v="UNHCR"/>
    <m/>
    <m/>
    <m/>
  </r>
  <r>
    <n v="123"/>
    <m/>
    <x v="0"/>
    <x v="0"/>
    <m/>
    <x v="10"/>
    <m/>
    <m/>
    <m/>
    <m/>
    <m/>
    <s v="Nyaung Na Pin "/>
    <s v="MMR001CMP072"/>
    <s v="GCA"/>
    <n v="97.724483"/>
    <n v="24.205417"/>
    <n v="47"/>
    <n v="258"/>
    <n v="5.48936170212766"/>
    <s v="UNHCR"/>
    <m/>
    <m/>
    <m/>
  </r>
  <r>
    <n v="124"/>
    <m/>
    <x v="0"/>
    <x v="0"/>
    <m/>
    <x v="10"/>
    <m/>
    <m/>
    <m/>
    <m/>
    <m/>
    <s v="Phar Kay/Nant Waing "/>
    <s v="MMR001CMP065"/>
    <s v="GCA"/>
    <n v="97.42986"/>
    <n v="24.63086"/>
    <n v="31"/>
    <n v="147"/>
    <n v="4.741935483870968"/>
    <s v=""/>
    <m/>
    <m/>
    <m/>
  </r>
  <r>
    <n v="125"/>
    <m/>
    <x v="0"/>
    <x v="0"/>
    <m/>
    <x v="10"/>
    <m/>
    <m/>
    <m/>
    <m/>
    <m/>
    <s v="Seng Ja "/>
    <s v="MMR001CMP073"/>
    <s v="GCA"/>
    <n v="24.207333"/>
    <n v="97.710864"/>
    <n v="32"/>
    <n v="173"/>
    <n v="5.40625"/>
    <s v="KBC, UNHCR"/>
    <m/>
    <m/>
    <m/>
  </r>
  <r>
    <n v="126"/>
    <m/>
    <x v="0"/>
    <x v="0"/>
    <m/>
    <x v="10"/>
    <m/>
    <m/>
    <m/>
    <m/>
    <m/>
    <s v="Tarli "/>
    <s v="MMR001CMP060"/>
    <s v="GCA"/>
    <m/>
    <m/>
    <n v="10"/>
    <n v="38"/>
    <n v="3.8"/>
    <s v=""/>
    <m/>
    <m/>
    <m/>
  </r>
  <r>
    <n v="128"/>
    <m/>
    <x v="0"/>
    <x v="0"/>
    <m/>
    <x v="11"/>
    <m/>
    <m/>
    <m/>
    <m/>
    <m/>
    <s v="Munekoe Pa (Giwang) - Hka San (Mung  Go  Pa ) "/>
    <s v="MMR015CMP012"/>
    <s v="NGCA"/>
    <m/>
    <m/>
    <n v="53"/>
    <n v="192"/>
    <n v="3.6226415094339623"/>
    <s v="KBC"/>
    <m/>
    <m/>
    <m/>
  </r>
  <r>
    <n v="129"/>
    <m/>
    <x v="0"/>
    <x v="0"/>
    <m/>
    <x v="11"/>
    <m/>
    <m/>
    <m/>
    <m/>
    <m/>
    <s v="Hpai Kawng Mare"/>
    <s v="MMR015CMP022"/>
    <s v="NGCA"/>
    <n v="98.11581"/>
    <n v="24.08738"/>
    <n v="32"/>
    <n v="187"/>
    <n v="5.84375"/>
    <s v=""/>
    <m/>
    <m/>
    <m/>
  </r>
  <r>
    <n v="130"/>
    <m/>
    <x v="0"/>
    <x v="0"/>
    <m/>
    <x v="11"/>
    <m/>
    <m/>
    <m/>
    <m/>
    <m/>
    <s v="Mung Baw "/>
    <s v="MMR015CMP005"/>
    <s v="NGCA"/>
    <m/>
    <m/>
    <n v="123"/>
    <n v="503"/>
    <n v="4.0894308943089435"/>
    <s v="KBC"/>
    <m/>
    <m/>
    <m/>
  </r>
  <r>
    <n v="131"/>
    <m/>
    <x v="0"/>
    <x v="0"/>
    <m/>
    <x v="12"/>
    <m/>
    <m/>
    <m/>
    <m/>
    <m/>
    <s v="Du Kahtawng Qtr. 14"/>
    <s v="MMR001CMP012"/>
    <s v="GCA"/>
    <n v="97.385101"/>
    <n v="25.399796"/>
    <n v="6"/>
    <n v="36"/>
    <n v="6"/>
    <s v=""/>
    <m/>
    <m/>
    <m/>
  </r>
  <r>
    <n v="132"/>
    <m/>
    <x v="0"/>
    <x v="0"/>
    <m/>
    <x v="12"/>
    <m/>
    <m/>
    <m/>
    <m/>
    <m/>
    <s v="Du Kahtawng Qtr. 4"/>
    <s v="MMR001CMP010"/>
    <s v="GCA"/>
    <n v="97.383057"/>
    <n v="25.395994"/>
    <n v="8"/>
    <n v="26"/>
    <n v="3.25"/>
    <s v="KBC"/>
    <m/>
    <m/>
    <m/>
  </r>
  <r>
    <n v="133"/>
    <m/>
    <x v="0"/>
    <x v="0"/>
    <m/>
    <x v="12"/>
    <m/>
    <m/>
    <m/>
    <m/>
    <m/>
    <s v="Du Kahtawng Qtr. 5"/>
    <s v="MMR001CMP011"/>
    <s v="GCA"/>
    <n v="97.381195"/>
    <n v="25.396364"/>
    <n v="6"/>
    <n v="32"/>
    <n v="5.333333333333333"/>
    <s v=""/>
    <m/>
    <m/>
    <m/>
  </r>
  <r>
    <n v="134"/>
    <m/>
    <x v="0"/>
    <x v="0"/>
    <m/>
    <x v="12"/>
    <m/>
    <m/>
    <m/>
    <m/>
    <m/>
    <s v="Jan Mai Kawng Baptist Church"/>
    <s v="MMR001CMP018"/>
    <s v="GCA"/>
    <n v="97.389778"/>
    <n v="25.417734"/>
    <n v="203"/>
    <n v="952"/>
    <n v="4.689655172413793"/>
    <s v="KBC, KMSS"/>
    <m/>
    <m/>
    <m/>
  </r>
  <r>
    <n v="135"/>
    <m/>
    <x v="0"/>
    <x v="0"/>
    <m/>
    <x v="12"/>
    <m/>
    <m/>
    <m/>
    <m/>
    <m/>
    <s v="Jan Mai Kawng Catholic Church"/>
    <s v="MMR001CMP019"/>
    <s v="GCA"/>
    <n v="97.373361"/>
    <n v="25.403477"/>
    <n v="110"/>
    <n v="460"/>
    <n v="4.181818181818182"/>
    <s v=""/>
    <m/>
    <m/>
    <m/>
  </r>
  <r>
    <n v="136"/>
    <m/>
    <x v="0"/>
    <x v="0"/>
    <m/>
    <x v="12"/>
    <m/>
    <m/>
    <m/>
    <m/>
    <m/>
    <s v="Kyun Pin Thar Baptist Church"/>
    <s v="MMR001CMP013"/>
    <s v="GCA"/>
    <n v="97.405121"/>
    <n v="25.365891"/>
    <n v="53"/>
    <n v="215"/>
    <n v="4.056603773584905"/>
    <s v="KBC"/>
    <m/>
    <m/>
    <m/>
  </r>
  <r>
    <n v="137"/>
    <m/>
    <x v="0"/>
    <x v="0"/>
    <m/>
    <x v="12"/>
    <m/>
    <m/>
    <m/>
    <m/>
    <m/>
    <s v="Le Kone Bethlehem Church"/>
    <s v="MMR001CMP015"/>
    <s v="GCA"/>
    <n v="97.409317"/>
    <n v="25.36219"/>
    <n v="84"/>
    <n v="440"/>
    <n v="5.238095238095238"/>
    <s v="KBC"/>
    <m/>
    <m/>
    <m/>
  </r>
  <r>
    <n v="138"/>
    <m/>
    <x v="0"/>
    <x v="0"/>
    <m/>
    <x v="12"/>
    <m/>
    <m/>
    <m/>
    <m/>
    <m/>
    <s v="Le Kone Ziun Baptist Church "/>
    <s v="MMR001CMP014"/>
    <s v="GCA"/>
    <n v="97.40892"/>
    <n v="25.355984"/>
    <n v="151"/>
    <n v="743"/>
    <n v="4.920529801324503"/>
    <s v="KBC"/>
    <m/>
    <m/>
    <m/>
  </r>
  <r>
    <n v="139"/>
    <m/>
    <x v="0"/>
    <x v="0"/>
    <m/>
    <x v="12"/>
    <m/>
    <m/>
    <m/>
    <m/>
    <m/>
    <s v="Maliyang Baptist Church"/>
    <s v="MMR001CMP016"/>
    <s v="GCA"/>
    <n v="97.411606"/>
    <n v="25.360476"/>
    <n v="77"/>
    <n v="329"/>
    <n v="4.2727272727272725"/>
    <s v="KBC"/>
    <m/>
    <m/>
    <m/>
  </r>
  <r>
    <n v="140"/>
    <m/>
    <x v="0"/>
    <x v="0"/>
    <m/>
    <x v="12"/>
    <m/>
    <m/>
    <m/>
    <m/>
    <m/>
    <s v="Man Hkring Baptist Church"/>
    <s v="MMR001CMP008"/>
    <s v="GCA"/>
    <n v="97.418694"/>
    <n v="25.428911"/>
    <n v="88"/>
    <n v="370"/>
    <n v="4.204545454545454"/>
    <s v="KBC"/>
    <m/>
    <m/>
    <m/>
  </r>
  <r>
    <n v="141"/>
    <m/>
    <x v="0"/>
    <x v="0"/>
    <m/>
    <x v="12"/>
    <m/>
    <m/>
    <m/>
    <m/>
    <m/>
    <s v="Maw Hpawng Hka Nan Baptist Church"/>
    <s v="MMR001CMP020"/>
    <s v="GCA"/>
    <n v="97.28473"/>
    <n v="25.37402"/>
    <n v="26"/>
    <n v="102"/>
    <n v="3.923076923076923"/>
    <s v="Shalom"/>
    <m/>
    <m/>
    <m/>
  </r>
  <r>
    <n v="142"/>
    <m/>
    <x v="0"/>
    <x v="0"/>
    <m/>
    <x v="12"/>
    <m/>
    <m/>
    <m/>
    <m/>
    <m/>
    <s v="Maw Hpawng Lhaovo Baptist Church"/>
    <s v="MMR001CMP021"/>
    <s v="GCA"/>
    <n v="97.29108"/>
    <n v="25.37118"/>
    <n v="20"/>
    <n v="99"/>
    <n v="4.95"/>
    <s v="Shalom"/>
    <m/>
    <m/>
    <m/>
  </r>
  <r>
    <n v="143"/>
    <m/>
    <x v="0"/>
    <x v="0"/>
    <m/>
    <x v="12"/>
    <m/>
    <m/>
    <m/>
    <m/>
    <m/>
    <s v="Myay Myint Baptist Church"/>
    <s v="MMR001CMP017"/>
    <s v="GCA"/>
    <n v="97.376672"/>
    <n v="25.387863"/>
    <n v="12"/>
    <n v="53"/>
    <n v="4.416666666666667"/>
    <s v="Shalom"/>
    <m/>
    <m/>
    <m/>
  </r>
  <r>
    <n v="144"/>
    <m/>
    <x v="0"/>
    <x v="0"/>
    <m/>
    <x v="12"/>
    <m/>
    <m/>
    <m/>
    <m/>
    <m/>
    <s v="Nan Kway St. John Catholic Church"/>
    <s v="MMR001CMP024"/>
    <s v="GCA"/>
    <n v="97.35938"/>
    <n v="25.41177"/>
    <n v="73"/>
    <n v="318"/>
    <n v="4.3561643835616435"/>
    <s v=""/>
    <m/>
    <m/>
    <m/>
  </r>
  <r>
    <n v="145"/>
    <m/>
    <x v="0"/>
    <x v="0"/>
    <m/>
    <x v="12"/>
    <m/>
    <m/>
    <m/>
    <m/>
    <m/>
    <s v="Njang Dung Baptist Church "/>
    <s v="MMR001CMP002"/>
    <s v="GCA"/>
    <n v="97.394547"/>
    <n v="25.422194"/>
    <n v="58"/>
    <n v="238"/>
    <n v="4.103448275862069"/>
    <s v="KBC"/>
    <m/>
    <m/>
    <m/>
  </r>
  <r>
    <n v="146"/>
    <m/>
    <x v="0"/>
    <x v="0"/>
    <m/>
    <x v="12"/>
    <m/>
    <m/>
    <m/>
    <m/>
    <m/>
    <s v="Pa Dauk Myaing(Pa La Na)"/>
    <s v="MMR001CMP162"/>
    <s v="GCA"/>
    <n v="97.4345"/>
    <n v="25.49382"/>
    <n v="31"/>
    <n v="163"/>
    <n v="5.258064516129032"/>
    <s v=""/>
    <m/>
    <m/>
    <m/>
  </r>
  <r>
    <n v="147"/>
    <m/>
    <x v="0"/>
    <x v="0"/>
    <m/>
    <x v="12"/>
    <m/>
    <m/>
    <m/>
    <m/>
    <m/>
    <s v="Shatapru Sut Ngai Tawng"/>
    <s v="MMR001CMP006"/>
    <s v="GCA"/>
    <n v="97.399628"/>
    <n v="25.412313"/>
    <n v="96"/>
    <n v="396"/>
    <n v="4.125"/>
    <s v=""/>
    <m/>
    <m/>
    <m/>
  </r>
  <r>
    <n v="148"/>
    <m/>
    <x v="0"/>
    <x v="0"/>
    <m/>
    <x v="12"/>
    <m/>
    <m/>
    <m/>
    <m/>
    <m/>
    <s v="Shatapru Thida Aye Baptist Church"/>
    <s v="MMR001CMP007"/>
    <s v="GCA"/>
    <n v="97.418005"/>
    <n v="25.423817"/>
    <n v="16"/>
    <n v="73"/>
    <n v="4.5625"/>
    <s v="KBC, Shalom"/>
    <m/>
    <m/>
    <m/>
  </r>
  <r>
    <n v="149"/>
    <m/>
    <x v="0"/>
    <x v="0"/>
    <m/>
    <x v="12"/>
    <m/>
    <m/>
    <m/>
    <m/>
    <m/>
    <s v="Shwe Zet Baptist Church"/>
    <s v="MMR001CMP009"/>
    <s v="GCA"/>
    <n v="97.419403"/>
    <n v="25.440928"/>
    <n v="74"/>
    <n v="364"/>
    <n v="4.918918918918919"/>
    <s v="KBC"/>
    <m/>
    <m/>
    <m/>
  </r>
  <r>
    <n v="150"/>
    <m/>
    <x v="0"/>
    <x v="0"/>
    <m/>
    <x v="12"/>
    <m/>
    <m/>
    <m/>
    <m/>
    <m/>
    <s v="Tat Kone Baptist Church"/>
    <s v="MMR001CMP001"/>
    <s v="GCA"/>
    <n v="97.386719"/>
    <n v="25.415482"/>
    <n v="62"/>
    <n v="260"/>
    <n v="4.193548387096774"/>
    <s v="KBC"/>
    <m/>
    <m/>
    <m/>
  </r>
  <r>
    <n v="151"/>
    <m/>
    <x v="0"/>
    <x v="0"/>
    <m/>
    <x v="12"/>
    <m/>
    <m/>
    <m/>
    <m/>
    <m/>
    <s v="Tat Kone COC Baptist / Tat Kone Htoi San"/>
    <s v="MMR001CMP023"/>
    <s v="GCA"/>
    <n v="97.3884"/>
    <n v="25.40982"/>
    <n v="69"/>
    <n v="322"/>
    <n v="4.666666666666667"/>
    <s v="Shalom"/>
    <m/>
    <m/>
    <m/>
  </r>
  <r>
    <n v="152"/>
    <m/>
    <x v="0"/>
    <x v="0"/>
    <m/>
    <x v="12"/>
    <m/>
    <m/>
    <m/>
    <m/>
    <m/>
    <s v="Tat Kone Emanuel Church"/>
    <s v="MMR001CMP004"/>
    <s v="GCA"/>
    <n v="97.379272"/>
    <n v="25.401075"/>
    <n v="14"/>
    <n v="61"/>
    <n v="4.357142857142857"/>
    <s v="Shalom"/>
    <m/>
    <m/>
    <m/>
  </r>
  <r>
    <n v="153"/>
    <m/>
    <x v="0"/>
    <x v="0"/>
    <m/>
    <x v="12"/>
    <m/>
    <m/>
    <m/>
    <m/>
    <m/>
    <s v="Tat Kone Galile Baptist Church"/>
    <s v="MMR001CMP003"/>
    <s v="GCA"/>
    <n v="97.377663"/>
    <n v="25.404753"/>
    <n v="30"/>
    <n v="139"/>
    <n v="4.633333333333334"/>
    <s v="KBC"/>
    <m/>
    <m/>
    <m/>
  </r>
  <r>
    <n v="154"/>
    <m/>
    <x v="0"/>
    <x v="0"/>
    <m/>
    <x v="12"/>
    <m/>
    <m/>
    <m/>
    <m/>
    <m/>
    <s v="Tat Kone San Pya Baptist Church"/>
    <s v="MMR001CMP005"/>
    <s v="GCA"/>
    <n v="97.382192"/>
    <n v="25.404015"/>
    <n v="43"/>
    <n v="185"/>
    <n v="4.3023255813953485"/>
    <s v="KBC"/>
    <m/>
    <m/>
    <m/>
  </r>
  <r>
    <n v="155"/>
    <m/>
    <x v="0"/>
    <x v="0"/>
    <m/>
    <x v="12"/>
    <m/>
    <m/>
    <m/>
    <m/>
    <m/>
    <s v="Wun Tho Buddhist Monastery"/>
    <s v="MMR001CMP022"/>
    <s v="GCA"/>
    <n v="97.403408"/>
    <n v="25.377546"/>
    <n v="24"/>
    <n v="104"/>
    <n v="4.333333333333333"/>
    <s v="Shalom"/>
    <m/>
    <m/>
    <m/>
  </r>
  <r>
    <n v="156"/>
    <m/>
    <x v="0"/>
    <x v="0"/>
    <m/>
    <x v="13"/>
    <m/>
    <m/>
    <m/>
    <m/>
    <m/>
    <s v="Mung Ding Pa "/>
    <s v="MMR015CMP023"/>
    <s v="NGCA"/>
    <m/>
    <m/>
    <s v=""/>
    <n v="149"/>
    <s v=""/>
    <m/>
    <m/>
    <m/>
    <m/>
  </r>
  <r>
    <n v="157"/>
    <m/>
    <x v="0"/>
    <x v="0"/>
    <m/>
    <x v="13"/>
    <m/>
    <m/>
    <m/>
    <m/>
    <m/>
    <s v="Nam Hkam Malut Jak "/>
    <s v="MMR015CMP002"/>
    <s v="NGCA"/>
    <m/>
    <m/>
    <n v="46"/>
    <n v="207"/>
    <n v="4.5"/>
    <s v=""/>
    <m/>
    <m/>
    <m/>
  </r>
  <r>
    <n v="158"/>
    <m/>
    <x v="0"/>
    <x v="0"/>
    <m/>
    <x v="13"/>
    <m/>
    <m/>
    <m/>
    <m/>
    <m/>
    <s v="Nam Hkam - Nay Win Ni (Palawng)"/>
    <s v="MMR015CMP004"/>
    <s v="NGCA"/>
    <m/>
    <m/>
    <n v="93"/>
    <n v="375"/>
    <n v="4.032258064516129"/>
    <s v="KBC"/>
    <m/>
    <m/>
    <m/>
  </r>
  <r>
    <n v="159"/>
    <m/>
    <x v="0"/>
    <x v="0"/>
    <m/>
    <x v="13"/>
    <m/>
    <m/>
    <m/>
    <m/>
    <m/>
    <s v="Nam Hkam (KBC Jaw Wang)"/>
    <s v="MMR015CMP001"/>
    <s v="NGCA"/>
    <m/>
    <m/>
    <n v="98"/>
    <n v="444"/>
    <n v="4.530612244897959"/>
    <s v="KBC"/>
    <m/>
    <m/>
    <m/>
  </r>
  <r>
    <n v="160"/>
    <m/>
    <x v="0"/>
    <x v="0"/>
    <m/>
    <x v="13"/>
    <m/>
    <m/>
    <m/>
    <m/>
    <m/>
    <s v="Nam Hkam Catholic Church ( St. Thomas I)"/>
    <s v="MMR015CMP003"/>
    <s v="NGCA"/>
    <m/>
    <m/>
    <n v="47"/>
    <n v="192"/>
    <n v="4.085106382978723"/>
    <s v="KBSS"/>
    <m/>
    <m/>
    <m/>
  </r>
  <r>
    <n v="161"/>
    <m/>
    <x v="0"/>
    <x v="0"/>
    <m/>
    <x v="13"/>
    <m/>
    <m/>
    <m/>
    <m/>
    <m/>
    <s v="Nam Hkam Catholic Church ( St. Thomas II)"/>
    <s v="MMR015CMP024"/>
    <s v="NGCA"/>
    <m/>
    <m/>
    <s v=""/>
    <s v=""/>
    <s v=""/>
    <m/>
    <m/>
    <m/>
    <m/>
  </r>
  <r>
    <n v="162"/>
    <m/>
    <x v="0"/>
    <x v="0"/>
    <m/>
    <x v="13"/>
    <m/>
    <m/>
    <m/>
    <m/>
    <m/>
    <s v="Nam Hkawng"/>
    <s v="MMR001CMP139"/>
    <s v="NGCA"/>
    <m/>
    <m/>
    <s v=""/>
    <s v=""/>
    <s v="KBC"/>
    <m/>
    <m/>
    <m/>
    <m/>
  </r>
  <r>
    <n v="163"/>
    <m/>
    <x v="0"/>
    <x v="0"/>
    <m/>
    <x v="14"/>
    <m/>
    <m/>
    <m/>
    <m/>
    <m/>
    <s v="Nam Tu"/>
    <s v="MMR015CMP014"/>
    <s v="NGCA"/>
    <m/>
    <m/>
    <n v="18"/>
    <n v="74"/>
    <n v="4.111111111111111"/>
    <s v="KBC"/>
    <m/>
    <m/>
    <m/>
  </r>
  <r>
    <n v="164"/>
    <m/>
    <x v="0"/>
    <x v="0"/>
    <m/>
    <x v="15"/>
    <m/>
    <m/>
    <m/>
    <m/>
    <m/>
    <s v="Tote Tan Ward"/>
    <s v="MMR001CMP075"/>
    <s v="GCA"/>
    <m/>
    <m/>
    <s v=""/>
    <s v=""/>
    <s v=""/>
    <m/>
    <m/>
    <m/>
    <m/>
  </r>
  <r>
    <n v="165"/>
    <m/>
    <x v="0"/>
    <x v="0"/>
    <m/>
    <x v="16"/>
    <m/>
    <m/>
    <m/>
    <m/>
    <m/>
    <s v="Lawk Awng Mare D. (Sinbo Area)"/>
    <s v="MMR001CMP147"/>
    <s v="NGCA"/>
    <m/>
    <m/>
    <n v="375"/>
    <n v="1691"/>
    <n v="4.509333333333333"/>
    <s v=""/>
    <m/>
    <m/>
    <m/>
  </r>
  <r>
    <n v="166"/>
    <m/>
    <x v="0"/>
    <x v="0"/>
    <m/>
    <x v="16"/>
    <m/>
    <m/>
    <m/>
    <m/>
    <m/>
    <s v="Host Families"/>
    <s v="MMR001CMP199"/>
    <s v="GCA"/>
    <m/>
    <m/>
    <n v="9"/>
    <n v="25"/>
    <n v="2.7777777777777777"/>
    <s v=""/>
    <m/>
    <m/>
    <m/>
  </r>
  <r>
    <n v="167"/>
    <m/>
    <x v="0"/>
    <x v="0"/>
    <m/>
    <x v="16"/>
    <m/>
    <m/>
    <m/>
    <m/>
    <m/>
    <s v="Shwe Gu Baptist Church"/>
    <s v="MMR001CMP067"/>
    <s v="GCA"/>
    <n v="96.807353"/>
    <n v="24.200361"/>
    <n v="106"/>
    <n v="263"/>
    <n v="2.481132075471698"/>
    <s v="UNHCR"/>
    <m/>
    <m/>
    <m/>
  </r>
  <r>
    <n v="168"/>
    <m/>
    <x v="0"/>
    <x v="0"/>
    <m/>
    <x v="16"/>
    <m/>
    <m/>
    <m/>
    <m/>
    <m/>
    <s v="Shwe Gu Catholic Church"/>
    <s v="MMR001CMP068"/>
    <s v="GCA"/>
    <m/>
    <m/>
    <n v="45"/>
    <n v="174"/>
    <n v="3.8666666666666667"/>
    <s v="KBSS"/>
    <m/>
    <m/>
    <m/>
  </r>
  <r>
    <n v="172"/>
    <m/>
    <x v="0"/>
    <x v="0"/>
    <m/>
    <x v="17"/>
    <m/>
    <m/>
    <m/>
    <m/>
    <m/>
    <s v="Border Post 8"/>
    <s v="MMR001CMP113"/>
    <s v="NGCA"/>
    <n v="97.915833"/>
    <n v="25.220278"/>
    <n v="130"/>
    <n v="640"/>
    <n v="4.923076923076923"/>
    <s v="KMSS, Ranir"/>
    <m/>
    <m/>
    <m/>
  </r>
  <r>
    <n v="173"/>
    <m/>
    <x v="0"/>
    <x v="0"/>
    <m/>
    <x v="17"/>
    <m/>
    <m/>
    <m/>
    <m/>
    <m/>
    <s v="Hkat Cho "/>
    <s v="MMR001CMP028"/>
    <s v="GCA"/>
    <n v="97.408302"/>
    <n v="25.324568"/>
    <n v="134"/>
    <n v="554"/>
    <n v="4.134328358208955"/>
    <s v="Shalom"/>
    <m/>
    <m/>
    <m/>
  </r>
  <r>
    <n v="174"/>
    <m/>
    <x v="0"/>
    <x v="0"/>
    <m/>
    <x v="17"/>
    <m/>
    <m/>
    <m/>
    <m/>
    <m/>
    <s v="Hkau Shau (BP 12)"/>
    <s v="MMR001CMP115"/>
    <s v="NGCA"/>
    <n v="97.807183"/>
    <n v="25.200333"/>
    <n v="210"/>
    <n v="1366"/>
    <n v="6.504761904761905"/>
    <s v="KBC, Ranir"/>
    <m/>
    <m/>
    <m/>
  </r>
  <r>
    <n v="175"/>
    <m/>
    <x v="0"/>
    <x v="0"/>
    <m/>
    <x v="17"/>
    <m/>
    <m/>
    <m/>
    <m/>
    <m/>
    <s v="Laiza Market 3 / Laiza Gat"/>
    <s v="MMR001CMP117"/>
    <s v="NGCA"/>
    <n v="97.551717"/>
    <n v="24.746817"/>
    <n v="476"/>
    <n v="2090"/>
    <n v="4.390756302521009"/>
    <s v="Ranir"/>
    <m/>
    <m/>
    <m/>
  </r>
  <r>
    <n v="176"/>
    <m/>
    <x v="0"/>
    <x v="0"/>
    <m/>
    <x v="17"/>
    <m/>
    <m/>
    <m/>
    <m/>
    <m/>
    <s v="Laiza Muklum Hpyen  Yen Mungshawa ni"/>
    <s v="MMR001CMP149"/>
    <s v="NGCA"/>
    <m/>
    <m/>
    <n v="834"/>
    <n v="4387"/>
    <n v="5.2601918465227815"/>
    <s v=""/>
    <m/>
    <m/>
    <m/>
  </r>
  <r>
    <n v="177"/>
    <m/>
    <x v="0"/>
    <x v="0"/>
    <m/>
    <x v="17"/>
    <m/>
    <m/>
    <m/>
    <m/>
    <m/>
    <s v="Mading Baptist Church"/>
    <s v="MMR001CMP027"/>
    <s v="GCA"/>
    <n v="97.451965"/>
    <n v="25.356632"/>
    <n v="23"/>
    <n v="114"/>
    <n v="4.956521739130435"/>
    <s v="KBC, Shalom"/>
    <m/>
    <m/>
    <m/>
  </r>
  <r>
    <n v="178"/>
    <m/>
    <x v="0"/>
    <x v="0"/>
    <m/>
    <x v="17"/>
    <m/>
    <m/>
    <m/>
    <m/>
    <m/>
    <s v="Maga Yang "/>
    <s v="MMR001CMP119"/>
    <s v="NGCA"/>
    <n v="97.71523"/>
    <n v="24.98025"/>
    <n v="622"/>
    <n v="2790"/>
    <n v="4.485530546623794"/>
    <s v="KMSS, Ranir"/>
    <m/>
    <m/>
    <m/>
  </r>
  <r>
    <n v="179"/>
    <m/>
    <x v="0"/>
    <x v="0"/>
    <m/>
    <x v="17"/>
    <m/>
    <m/>
    <m/>
    <m/>
    <m/>
    <s v="Maina AG Church"/>
    <s v="MMR001CMP031"/>
    <s v="GCA"/>
    <n v="97.435234"/>
    <n v="25.425276"/>
    <n v="107"/>
    <n v="493"/>
    <n v="4.607476635514018"/>
    <s v="Shalom"/>
    <m/>
    <m/>
    <m/>
  </r>
  <r>
    <n v="180"/>
    <m/>
    <x v="0"/>
    <x v="0"/>
    <m/>
    <x v="17"/>
    <m/>
    <m/>
    <m/>
    <m/>
    <m/>
    <s v="Maina Catholic Church (St. Joseph)"/>
    <s v="MMR001CMP029"/>
    <s v="GCA"/>
    <n v="97.43845"/>
    <n v="25.4159"/>
    <n v="243"/>
    <n v="1078"/>
    <n v="4.436213991769547"/>
    <s v="KMSS"/>
    <m/>
    <m/>
    <m/>
  </r>
  <r>
    <n v="181"/>
    <m/>
    <x v="0"/>
    <x v="0"/>
    <m/>
    <x v="17"/>
    <m/>
    <m/>
    <m/>
    <m/>
    <m/>
    <s v="Maina KBC (Bawng Ring)"/>
    <s v="MMR001CMP040"/>
    <s v="GCA"/>
    <n v="97.437435"/>
    <n v="25.411413"/>
    <n v="384"/>
    <n v="1694"/>
    <n v="4.411458333333333"/>
    <s v="KBC"/>
    <m/>
    <m/>
    <m/>
  </r>
  <r>
    <n v="182"/>
    <m/>
    <x v="0"/>
    <x v="0"/>
    <m/>
    <x v="17"/>
    <m/>
    <m/>
    <m/>
    <m/>
    <m/>
    <s v="Maina Lawang Baptist Church"/>
    <s v="MMR001CMP039"/>
    <s v="GCA"/>
    <n v="97.426297"/>
    <n v="25.409566"/>
    <n v="47"/>
    <n v="184"/>
    <n v="3.9148936170212765"/>
    <s v="KBC"/>
    <m/>
    <m/>
    <m/>
  </r>
  <r>
    <n v="183"/>
    <m/>
    <x v="0"/>
    <x v="0"/>
    <m/>
    <x v="17"/>
    <m/>
    <m/>
    <m/>
    <m/>
    <m/>
    <s v="Manau Compound"/>
    <s v="MMR001CMP118"/>
    <s v="GCA"/>
    <n v="97.550267"/>
    <n v="24.747967"/>
    <s v=""/>
    <s v=""/>
    <s v=""/>
    <m/>
    <m/>
    <m/>
    <m/>
  </r>
  <r>
    <n v="184"/>
    <m/>
    <x v="0"/>
    <x v="0"/>
    <m/>
    <x v="17"/>
    <m/>
    <m/>
    <m/>
    <m/>
    <m/>
    <s v="Nawng Hee Village"/>
    <s v="MMR001CMP033"/>
    <s v="GCA"/>
    <n v="97.345039"/>
    <n v="25.351965"/>
    <n v="18"/>
    <n v="72"/>
    <n v="4"/>
    <s v=""/>
    <m/>
    <m/>
    <m/>
  </r>
  <r>
    <n v="185"/>
    <m/>
    <x v="0"/>
    <x v="0"/>
    <m/>
    <x v="17"/>
    <m/>
    <m/>
    <m/>
    <m/>
    <m/>
    <s v="Pajau / Jan Mai"/>
    <s v="MMR001CMP120"/>
    <s v="NGCA"/>
    <n v="97.751389"/>
    <n v="24.831944"/>
    <n v="172"/>
    <n v="708"/>
    <n v="4.116279069767442"/>
    <s v="KBC, Ranir"/>
    <m/>
    <m/>
    <m/>
  </r>
  <r>
    <n v="186"/>
    <m/>
    <x v="0"/>
    <x v="0"/>
    <m/>
    <x v="17"/>
    <m/>
    <m/>
    <m/>
    <m/>
    <m/>
    <s v="Post 6 Camp"/>
    <s v="MMR001CMP160"/>
    <s v="NGCA"/>
    <n v="97.990556"/>
    <n v="25.265278"/>
    <n v="109"/>
    <n v="540"/>
    <n v="4.954128440366972"/>
    <s v="KMSS, Ranir"/>
    <m/>
    <m/>
    <m/>
  </r>
  <r>
    <n v="187"/>
    <m/>
    <x v="0"/>
    <x v="0"/>
    <m/>
    <x v="17"/>
    <m/>
    <m/>
    <m/>
    <m/>
    <m/>
    <s v="Qtr. 2 Lhaovo Baptist Church"/>
    <s v="MMR001CMP032"/>
    <s v="GCA"/>
    <n v="97.441483"/>
    <n v="25.354884"/>
    <n v="118"/>
    <n v="332"/>
    <n v="2.8135593220338984"/>
    <s v="Shalom"/>
    <m/>
    <m/>
    <m/>
  </r>
  <r>
    <n v="188"/>
    <m/>
    <x v="0"/>
    <x v="0"/>
    <m/>
    <x v="17"/>
    <m/>
    <m/>
    <m/>
    <m/>
    <m/>
    <s v="Qtr. 2 Myoma Baptist Church"/>
    <s v="MMR001CMP025"/>
    <s v="GCA"/>
    <n v="97.438271"/>
    <n v="25.351655"/>
    <n v="81"/>
    <n v="364"/>
    <n v="4.493827160493828"/>
    <s v="KBC"/>
    <m/>
    <m/>
    <m/>
  </r>
  <r>
    <n v="189"/>
    <m/>
    <x v="0"/>
    <x v="0"/>
    <m/>
    <x v="17"/>
    <m/>
    <m/>
    <m/>
    <m/>
    <m/>
    <s v="Qtr. 3 Mu-yin  Baptist Church"/>
    <s v="MMR001CMP030"/>
    <s v="GCA"/>
    <n v="97.437569"/>
    <n v="25.346004"/>
    <n v="28"/>
    <n v="131"/>
    <n v="4.678571428571429"/>
    <s v="Shalom"/>
    <m/>
    <m/>
    <m/>
  </r>
  <r>
    <n v="190"/>
    <m/>
    <x v="0"/>
    <x v="0"/>
    <m/>
    <x v="17"/>
    <m/>
    <m/>
    <m/>
    <m/>
    <m/>
    <s v="Qtr. 4 Monestry (Thargaya Thayett Taw)"/>
    <s v="MMR001CMP026"/>
    <s v="GCA"/>
    <n v="97.432495"/>
    <n v="25.350809"/>
    <n v="101"/>
    <n v="524"/>
    <n v="5.188118811881188"/>
    <s v="Shalom"/>
    <m/>
    <m/>
    <m/>
  </r>
  <r>
    <n v="191"/>
    <m/>
    <x v="0"/>
    <x v="0"/>
    <m/>
    <x v="17"/>
    <m/>
    <m/>
    <m/>
    <m/>
    <m/>
    <s v="Shing Jai"/>
    <s v="MMR001CMP041"/>
    <s v="GCA"/>
    <n v="98.025663"/>
    <n v="25.418084"/>
    <n v="182"/>
    <n v="948"/>
    <n v="5.208791208791209"/>
    <s v=""/>
    <m/>
    <m/>
    <m/>
  </r>
  <r>
    <n v="192"/>
    <m/>
    <x v="0"/>
    <x v="0"/>
    <m/>
    <x v="17"/>
    <m/>
    <m/>
    <m/>
    <m/>
    <m/>
    <s v="Thargaya Lisu Baptist Church"/>
    <s v="MMR001CMP037"/>
    <s v="GCA"/>
    <n v="97.42796"/>
    <n v="25.33351"/>
    <n v="74"/>
    <n v="323"/>
    <n v="4.364864864864865"/>
    <s v="Shalom"/>
    <m/>
    <m/>
    <m/>
  </r>
  <r>
    <n v="193"/>
    <m/>
    <x v="0"/>
    <x v="0"/>
    <m/>
    <x v="17"/>
    <m/>
    <m/>
    <m/>
    <m/>
    <m/>
    <s v="Waingmaw AG Church"/>
    <s v="MMR001CMP038"/>
    <s v="GCA"/>
    <n v="97.443702"/>
    <n v="25.351242"/>
    <n v="77"/>
    <n v="372"/>
    <n v="4.8311688311688314"/>
    <s v="Shalom"/>
    <m/>
    <m/>
    <m/>
  </r>
  <r>
    <n v="194"/>
    <m/>
    <x v="0"/>
    <x v="0"/>
    <m/>
    <x v="17"/>
    <m/>
    <m/>
    <m/>
    <m/>
    <m/>
    <s v="Waingmaw Baptist Zonal Office"/>
    <s v="MMR001CMP036"/>
    <s v="GCA"/>
    <n v="97.438259"/>
    <n v="25.355842"/>
    <n v="132"/>
    <n v="132"/>
    <n v="1"/>
    <s v="KBC"/>
    <m/>
    <m/>
    <m/>
  </r>
  <r>
    <n v="195"/>
    <m/>
    <x v="0"/>
    <x v="0"/>
    <m/>
    <x v="17"/>
    <m/>
    <m/>
    <m/>
    <m/>
    <m/>
    <s v="Woi Chyai "/>
    <s v="MMR001CMP116"/>
    <s v="NGCA"/>
    <n v="97.567117"/>
    <n v="24.768383"/>
    <n v="840"/>
    <n v="4296"/>
    <n v="5.114285714285714"/>
    <s v="Ranir"/>
    <m/>
    <m/>
    <m/>
  </r>
  <r>
    <n v="196"/>
    <m/>
    <x v="0"/>
    <x v="0"/>
    <m/>
    <x v="17"/>
    <m/>
    <m/>
    <m/>
    <m/>
    <m/>
    <s v="Zai Awng / Mung Ga Zup"/>
    <s v="MMR001CMP111"/>
    <s v="NGCA"/>
    <n v="97.75679"/>
    <n v="25.10667"/>
    <n v="627"/>
    <n v="2643"/>
    <n v="4.215311004784689"/>
    <s v="KBC, Ranir"/>
    <m/>
    <m/>
    <m/>
  </r>
  <r>
    <n v="20"/>
    <m/>
    <x v="1"/>
    <x v="0"/>
    <m/>
    <x v="2"/>
    <m/>
    <m/>
    <m/>
    <m/>
    <m/>
    <s v="1 Ward, Sein Yadanar Company(Lon Khin)"/>
    <s v="MMR001CMP171"/>
    <s v="GCA"/>
    <n v="96.35955"/>
    <n v="25.65865"/>
    <n v="2"/>
    <n v="20"/>
    <n v="10"/>
    <s v=""/>
    <m/>
    <m/>
    <m/>
  </r>
  <r>
    <n v="25"/>
    <m/>
    <x v="1"/>
    <x v="0"/>
    <m/>
    <x v="2"/>
    <m/>
    <m/>
    <m/>
    <m/>
    <m/>
    <s v="Anglican Church, Hmaw Si Sar"/>
    <s v="MMR001CMP173"/>
    <s v="GCA"/>
    <m/>
    <m/>
    <s v=""/>
    <s v=""/>
    <s v=""/>
    <m/>
    <m/>
    <m/>
    <m/>
  </r>
  <r>
    <n v="27"/>
    <m/>
    <x v="1"/>
    <x v="0"/>
    <m/>
    <x v="2"/>
    <m/>
    <m/>
    <m/>
    <m/>
    <m/>
    <s v="Away Yar Rama Monastery, Ka Day village"/>
    <s v="MMR001CMP170"/>
    <s v="GCA"/>
    <n v="96.33987"/>
    <n v="25.65599"/>
    <n v="3"/>
    <n v="11"/>
    <n v="3.6666666666666665"/>
    <s v=""/>
    <m/>
    <m/>
    <m/>
  </r>
  <r>
    <n v="28"/>
    <m/>
    <x v="1"/>
    <x v="0"/>
    <m/>
    <x v="2"/>
    <m/>
    <m/>
    <m/>
    <m/>
    <m/>
    <s v="Aye Mya Tharyar Church of Christ "/>
    <s v="MMR001CMP092"/>
    <s v="GCA"/>
    <m/>
    <m/>
    <s v=""/>
    <s v=""/>
    <s v=""/>
    <m/>
    <m/>
    <m/>
    <m/>
  </r>
  <r>
    <n v="33"/>
    <m/>
    <x v="1"/>
    <x v="0"/>
    <m/>
    <x v="2"/>
    <m/>
    <m/>
    <m/>
    <m/>
    <m/>
    <s v="Chin(Zomi) Baptist Church"/>
    <s v="MMR001CMP086"/>
    <s v="GCA"/>
    <m/>
    <m/>
    <n v="23"/>
    <n v="64"/>
    <n v="2.782608695652174"/>
    <s v=""/>
    <m/>
    <m/>
    <m/>
  </r>
  <r>
    <n v="35"/>
    <m/>
    <x v="1"/>
    <x v="0"/>
    <m/>
    <x v="2"/>
    <m/>
    <m/>
    <m/>
    <m/>
    <m/>
    <s v="Ei Wan Gali Asso., Ward 1, Seik Mu"/>
    <s v="MMR001CMP180"/>
    <s v="GCA"/>
    <m/>
    <m/>
    <n v="11"/>
    <n v="30"/>
    <n v="2.727272727272727"/>
    <s v=""/>
    <m/>
    <m/>
    <m/>
  </r>
  <r>
    <n v="36"/>
    <m/>
    <x v="1"/>
    <x v="0"/>
    <m/>
    <x v="2"/>
    <m/>
    <m/>
    <m/>
    <m/>
    <m/>
    <s v="Free Christian Asso., Ward 1, Seik Mu"/>
    <s v="MMR001CMP186"/>
    <s v="GCA"/>
    <m/>
    <m/>
    <n v="26"/>
    <n v="124"/>
    <n v="4.769230769230769"/>
    <s v=""/>
    <m/>
    <m/>
    <m/>
  </r>
  <r>
    <n v="39"/>
    <m/>
    <x v="1"/>
    <x v="0"/>
    <m/>
    <x v="2"/>
    <m/>
    <m/>
    <m/>
    <m/>
    <m/>
    <s v="Hmaw Wan, Baptist Christian Church"/>
    <s v="MMR001CMP189"/>
    <s v="GCA"/>
    <m/>
    <m/>
    <s v=""/>
    <s v=""/>
    <s v="KBC"/>
    <m/>
    <m/>
    <m/>
    <m/>
  </r>
  <r>
    <n v="42"/>
    <m/>
    <x v="1"/>
    <x v="0"/>
    <m/>
    <x v="2"/>
    <m/>
    <m/>
    <m/>
    <m/>
    <m/>
    <s v="Ma Mon Buddhist Monastery"/>
    <s v="MMR001CMP107"/>
    <s v="GCA"/>
    <m/>
    <m/>
    <s v=""/>
    <s v=""/>
    <s v=""/>
    <m/>
    <m/>
    <m/>
    <m/>
  </r>
  <r>
    <n v="43"/>
    <m/>
    <x v="1"/>
    <x v="0"/>
    <m/>
    <x v="2"/>
    <m/>
    <m/>
    <m/>
    <m/>
    <m/>
    <s v="Mashi Kahtawng Baptist  Church"/>
    <s v="MMR001CMP094"/>
    <s v="GCA"/>
    <n v="96.310928"/>
    <n v="25.60918"/>
    <n v="25"/>
    <n v="110"/>
    <n v="4.4"/>
    <s v="KBC"/>
    <m/>
    <m/>
    <m/>
  </r>
  <r>
    <n v="44"/>
    <m/>
    <x v="1"/>
    <x v="0"/>
    <m/>
    <x v="2"/>
    <m/>
    <m/>
    <m/>
    <m/>
    <m/>
    <s v="Mashi Kahtawng Catholic Church"/>
    <s v="MMR001CMP093"/>
    <s v="GCA"/>
    <m/>
    <m/>
    <s v=""/>
    <s v=""/>
    <s v=""/>
    <m/>
    <m/>
    <m/>
    <m/>
  </r>
  <r>
    <n v="45"/>
    <m/>
    <x v="1"/>
    <x v="0"/>
    <m/>
    <x v="2"/>
    <m/>
    <m/>
    <m/>
    <m/>
    <m/>
    <s v="Mashi Kahtawng Evangelical Church"/>
    <s v="MMR001CMP096"/>
    <s v="GCA"/>
    <m/>
    <m/>
    <s v=""/>
    <s v=""/>
    <s v=""/>
    <m/>
    <m/>
    <m/>
    <m/>
  </r>
  <r>
    <n v="46"/>
    <m/>
    <x v="1"/>
    <x v="0"/>
    <m/>
    <x v="2"/>
    <m/>
    <m/>
    <m/>
    <m/>
    <m/>
    <s v="Mashi Kahtawng Municipal Dammar Yone"/>
    <s v="MMR001CMP098"/>
    <s v="GCA"/>
    <m/>
    <m/>
    <s v=""/>
    <s v=""/>
    <s v=""/>
    <m/>
    <m/>
    <m/>
    <m/>
  </r>
  <r>
    <n v="47"/>
    <m/>
    <x v="1"/>
    <x v="0"/>
    <m/>
    <x v="2"/>
    <m/>
    <m/>
    <m/>
    <m/>
    <m/>
    <s v="Mashi Kahtawng Myo Oo Taw Ya Monestry"/>
    <s v="MMR001CMP099"/>
    <s v="GCA"/>
    <m/>
    <m/>
    <s v=""/>
    <s v=""/>
    <s v=""/>
    <m/>
    <m/>
    <m/>
    <m/>
  </r>
  <r>
    <n v="48"/>
    <m/>
    <x v="1"/>
    <x v="0"/>
    <m/>
    <x v="2"/>
    <m/>
    <m/>
    <m/>
    <m/>
    <m/>
    <s v="Mashi Kahtawng Rakhine traditional group"/>
    <s v="MMR001CMP095"/>
    <s v="GCA"/>
    <m/>
    <m/>
    <s v=""/>
    <s v=""/>
    <s v=""/>
    <m/>
    <m/>
    <m/>
    <m/>
  </r>
  <r>
    <n v="49"/>
    <m/>
    <x v="1"/>
    <x v="0"/>
    <m/>
    <x v="2"/>
    <m/>
    <m/>
    <m/>
    <m/>
    <m/>
    <s v="Mashi Kahtawng Shan Traditional Monestry"/>
    <s v="MMR001CMP100"/>
    <s v="GCA"/>
    <m/>
    <m/>
    <s v=""/>
    <s v=""/>
    <s v=""/>
    <m/>
    <m/>
    <m/>
    <m/>
  </r>
  <r>
    <n v="50"/>
    <m/>
    <x v="1"/>
    <x v="0"/>
    <m/>
    <x v="2"/>
    <m/>
    <m/>
    <m/>
    <m/>
    <m/>
    <s v="Mashi Kahtawng Yaung Chi Oo Thi la shin Monestry"/>
    <s v="MMR001CMP097"/>
    <s v="GCA"/>
    <m/>
    <m/>
    <s v=""/>
    <s v=""/>
    <s v=""/>
    <m/>
    <m/>
    <m/>
    <m/>
  </r>
  <r>
    <n v="51"/>
    <m/>
    <x v="1"/>
    <x v="0"/>
    <m/>
    <x v="2"/>
    <m/>
    <m/>
    <m/>
    <m/>
    <m/>
    <s v="Maw Si Zar, Thiriyardanar Sein, Damma Compound, Lone Khin"/>
    <s v="MMR001CMP106"/>
    <s v="GCA"/>
    <n v="96.34335"/>
    <n v="25.6447"/>
    <s v=""/>
    <s v=""/>
    <s v=""/>
    <m/>
    <m/>
    <m/>
    <m/>
  </r>
  <r>
    <n v="52"/>
    <m/>
    <x v="1"/>
    <x v="0"/>
    <m/>
    <x v="2"/>
    <m/>
    <m/>
    <m/>
    <m/>
    <m/>
    <s v="Maw Wan, Catholic Church"/>
    <s v="MMR001CMP090"/>
    <s v="GCA"/>
    <m/>
    <m/>
    <s v=""/>
    <s v=""/>
    <s v=""/>
    <m/>
    <m/>
    <m/>
    <m/>
  </r>
  <r>
    <n v="53"/>
    <m/>
    <x v="1"/>
    <x v="0"/>
    <m/>
    <x v="2"/>
    <m/>
    <m/>
    <m/>
    <m/>
    <m/>
    <s v="Maw Wan, Kachin Baptist Church"/>
    <s v="MMR001CMP085"/>
    <s v="GCA"/>
    <n v="96.316211"/>
    <n v="25.619221"/>
    <n v="70"/>
    <n v="324"/>
    <n v="4.628571428571429"/>
    <s v=""/>
    <m/>
    <m/>
    <m/>
  </r>
  <r>
    <n v="54"/>
    <m/>
    <x v="1"/>
    <x v="0"/>
    <m/>
    <x v="2"/>
    <m/>
    <m/>
    <m/>
    <m/>
    <m/>
    <s v="Maw Wan, Kyauk Hlaing Gu Pagoda Compound"/>
    <s v="MMR001CMP084"/>
    <s v="GCA"/>
    <m/>
    <m/>
    <s v=""/>
    <s v=""/>
    <s v=""/>
    <m/>
    <m/>
    <m/>
    <m/>
  </r>
  <r>
    <n v="56"/>
    <m/>
    <x v="1"/>
    <x v="0"/>
    <m/>
    <x v="2"/>
    <m/>
    <m/>
    <m/>
    <m/>
    <m/>
    <s v="Maw Wan, Myo Oo Pagoda"/>
    <s v="MMR001CMP088"/>
    <s v="GCA"/>
    <m/>
    <m/>
    <s v=""/>
    <s v=""/>
    <s v=""/>
    <m/>
    <m/>
    <m/>
    <m/>
  </r>
  <r>
    <n v="57"/>
    <m/>
    <x v="1"/>
    <x v="0"/>
    <m/>
    <x v="2"/>
    <m/>
    <m/>
    <m/>
    <m/>
    <m/>
    <s v="May Di Ka Rama Monastery(Lon Khin)"/>
    <s v="MMR001CMP178"/>
    <s v="GCA"/>
    <n v="96.35931"/>
    <n v="25.65144"/>
    <s v=""/>
    <s v=""/>
    <s v=""/>
    <m/>
    <m/>
    <m/>
    <m/>
  </r>
  <r>
    <n v="61"/>
    <m/>
    <x v="1"/>
    <x v="0"/>
    <m/>
    <x v="2"/>
    <m/>
    <m/>
    <m/>
    <m/>
    <m/>
    <s v="Nga Pyaw Taw Roman Catholic Church"/>
    <s v="MMR001CMP083"/>
    <s v="GCA"/>
    <n v="96.31326"/>
    <n v="25.6119"/>
    <s v=""/>
    <s v=""/>
    <s v=""/>
    <m/>
    <m/>
    <m/>
    <m/>
  </r>
  <r>
    <n v="62"/>
    <m/>
    <x v="1"/>
    <x v="0"/>
    <m/>
    <x v="2"/>
    <m/>
    <m/>
    <m/>
    <m/>
    <m/>
    <s v="Parami, Charity Office, MyoMa Quarter"/>
    <s v="MMR001CMP102"/>
    <s v="GCA"/>
    <m/>
    <m/>
    <s v=""/>
    <s v=""/>
    <s v=""/>
    <m/>
    <m/>
    <m/>
    <m/>
  </r>
  <r>
    <n v="64"/>
    <m/>
    <x v="1"/>
    <x v="0"/>
    <m/>
    <x v="2"/>
    <m/>
    <m/>
    <m/>
    <m/>
    <m/>
    <s v="Sa Baw Sarsana Parla Monastery"/>
    <s v="MMR001CMP108"/>
    <s v="GCA"/>
    <m/>
    <m/>
    <s v=""/>
    <s v=""/>
    <s v=""/>
    <m/>
    <m/>
    <m/>
    <m/>
  </r>
  <r>
    <n v="66"/>
    <m/>
    <x v="1"/>
    <x v="0"/>
    <m/>
    <x v="2"/>
    <m/>
    <m/>
    <m/>
    <m/>
    <m/>
    <s v="San Kyel, Masoe Yein Monestry"/>
    <s v="MMR001CMP104"/>
    <s v="GCA"/>
    <m/>
    <m/>
    <s v=""/>
    <s v=""/>
    <s v=""/>
    <m/>
    <m/>
    <m/>
    <m/>
  </r>
  <r>
    <n v="67"/>
    <m/>
    <x v="1"/>
    <x v="0"/>
    <m/>
    <x v="2"/>
    <m/>
    <m/>
    <m/>
    <m/>
    <m/>
    <s v="Tar Ma Hkan Buddhist Monastery, Haung Par"/>
    <s v="MMR001CMP110"/>
    <s v="GCA"/>
    <m/>
    <m/>
    <s v=""/>
    <s v=""/>
    <s v=""/>
    <m/>
    <m/>
    <m/>
    <m/>
  </r>
  <r>
    <n v="68"/>
    <m/>
    <x v="1"/>
    <x v="0"/>
    <m/>
    <x v="2"/>
    <m/>
    <m/>
    <m/>
    <m/>
    <m/>
    <s v="Thiri Mingalar Manizay Yone, Myoma Quarter"/>
    <s v="MMR001CMP101"/>
    <s v="GCA"/>
    <m/>
    <m/>
    <s v=""/>
    <s v=""/>
    <s v=""/>
    <m/>
    <m/>
    <m/>
    <m/>
  </r>
  <r>
    <n v="71"/>
    <m/>
    <x v="1"/>
    <x v="0"/>
    <m/>
    <x v="2"/>
    <m/>
    <m/>
    <m/>
    <m/>
    <m/>
    <s v="Wrad(5) Christian Association"/>
    <s v="MMR001CMP175"/>
    <s v="GCA"/>
    <m/>
    <m/>
    <n v="15"/>
    <n v="93"/>
    <n v="6.2"/>
    <s v=""/>
    <m/>
    <m/>
    <m/>
  </r>
  <r>
    <n v="169"/>
    <m/>
    <x v="1"/>
    <x v="0"/>
    <m/>
    <x v="17"/>
    <m/>
    <m/>
    <m/>
    <m/>
    <m/>
    <s v="Moke Lwe Village / Hkar Shi"/>
    <s v="MMR001CMP035"/>
    <m/>
    <n v="97.421104"/>
    <n v="25.328987"/>
    <s v=""/>
    <s v=""/>
    <s v=""/>
    <m/>
    <m/>
    <m/>
    <m/>
  </r>
  <r>
    <n v="170"/>
    <m/>
    <x v="1"/>
    <x v="0"/>
    <m/>
    <x v="17"/>
    <m/>
    <m/>
    <m/>
    <m/>
    <m/>
    <s v="Nawng Si Paw Village / Inn Lay"/>
    <s v="MMR001CMP034"/>
    <m/>
    <m/>
    <m/>
    <s v=""/>
    <s v=""/>
    <s v=""/>
    <m/>
    <m/>
    <m/>
    <m/>
  </r>
  <r>
    <n v="171"/>
    <m/>
    <x v="1"/>
    <x v="0"/>
    <m/>
    <x v="17"/>
    <m/>
    <m/>
    <m/>
    <m/>
    <m/>
    <s v="Border Post 10"/>
    <s v="MMR001CMP114"/>
    <m/>
    <n v="97.837778"/>
    <n v="25.273333"/>
    <s v=""/>
    <s v=""/>
    <s v=""/>
    <m/>
    <m/>
    <m/>
    <m/>
  </r>
  <r>
    <n v="198"/>
    <m/>
    <x v="1"/>
    <x v="0"/>
    <m/>
    <x v="2"/>
    <m/>
    <m/>
    <m/>
    <m/>
    <m/>
    <s v="Zomee Baptist Church camp, Hmaw Wan"/>
    <s v="MMR001CMP201"/>
    <s v="GCA"/>
    <n v="96.315602"/>
    <n v="25.615006"/>
    <n v="6"/>
    <n v="27"/>
    <n v="4.5"/>
    <s v=""/>
    <m/>
    <m/>
    <m/>
  </r>
  <r>
    <n v="91"/>
    <m/>
    <x v="0"/>
    <x v="0"/>
    <m/>
    <x v="6"/>
    <m/>
    <m/>
    <m/>
    <m/>
    <m/>
    <s v="Lagatyan "/>
    <s v="MMR001CMP202"/>
    <s v="GCA"/>
    <m/>
    <m/>
    <n v="85"/>
    <n v="343"/>
    <n v="4.035294117647059"/>
    <s v=""/>
    <m/>
    <m/>
    <m/>
  </r>
  <r>
    <n v="92"/>
    <m/>
    <x v="0"/>
    <x v="0"/>
    <m/>
    <x v="6"/>
    <m/>
    <m/>
    <m/>
    <m/>
    <m/>
    <s v="Mung Ding Pa  (Boarder)"/>
    <s v="MMR001CMP203"/>
    <s v="NGCA"/>
    <m/>
    <m/>
    <n v="29.8"/>
    <n v="149"/>
    <n v="5"/>
    <s v=""/>
    <m/>
    <m/>
    <m/>
  </r>
  <r>
    <n v="93"/>
    <m/>
    <x v="0"/>
    <x v="0"/>
    <m/>
    <x v="6"/>
    <m/>
    <m/>
    <m/>
    <m/>
    <m/>
    <s v="Nam Lim Pa    (Boarder)"/>
    <s v="MMR001CMP204"/>
    <s v="NGCA"/>
    <m/>
    <m/>
    <n v="35.4"/>
    <n v="177"/>
    <n v="5"/>
    <s v=""/>
    <m/>
    <m/>
    <m/>
  </r>
  <r>
    <n v="197"/>
    <m/>
    <x v="0"/>
    <x v="0"/>
    <m/>
    <x v="10"/>
    <m/>
    <m/>
    <m/>
    <m/>
    <m/>
    <s v="Khun Sint Village"/>
    <s v="MMR001CMP200"/>
    <s v="GCA"/>
    <m/>
    <m/>
    <n v="4"/>
    <n v="26"/>
    <n v="6.5"/>
    <s v=""/>
    <m/>
    <m/>
    <m/>
  </r>
  <r>
    <n v="127"/>
    <m/>
    <x v="0"/>
    <x v="0"/>
    <m/>
    <x v="11"/>
    <m/>
    <m/>
    <m/>
    <m/>
    <m/>
    <s v="Hka San Camp"/>
    <s v="MMR015CMP021"/>
    <s v="NGCA"/>
    <m/>
    <m/>
    <s v=""/>
    <s v=""/>
    <s v=""/>
    <m/>
    <m/>
    <m/>
    <m/>
  </r>
  <r>
    <n v="248"/>
    <d v="2013-05-22T00:00:00.000"/>
    <x v="0"/>
    <x v="1"/>
    <s v="MMR012"/>
    <x v="18"/>
    <s v="MMR012011"/>
    <s v="Taung Yin"/>
    <s v="MMR012011002"/>
    <s v="Ka Nyin Taw"/>
    <n v="198469"/>
    <s v="Pha Yar Gyi Kwin"/>
    <s v="MMR012CMP036"/>
    <s v="Accessible by All"/>
    <s v=" 93.552452°"/>
    <s v=" 19.421102°"/>
    <n v="65"/>
    <n v="321"/>
    <n v="4.938461538461539"/>
    <s v="Camp/Community Leader"/>
    <s v="Estimate"/>
    <s v="Planned Camp"/>
    <m/>
  </r>
  <r>
    <n v="247"/>
    <d v="2013-05-22T00:00:00.000"/>
    <x v="0"/>
    <x v="1"/>
    <s v="MMR012"/>
    <x v="18"/>
    <s v="MMR012011"/>
    <s v="Gone Chein"/>
    <s v="MMR012011006"/>
    <s v="Say Poke Kay"/>
    <n v="198486"/>
    <s v="Kyauk Ta Lone"/>
    <s v="MMR012CMP035"/>
    <s v="Accessible by All"/>
    <s v=" 93.512326°"/>
    <s v=" 19.424577°"/>
    <n v="426"/>
    <n v="1528"/>
    <n v="3.5868544600938965"/>
    <s v="Camp/Community Leader"/>
    <s v="Estimate"/>
    <s v="Planned Camp"/>
    <m/>
  </r>
  <r>
    <n v="233"/>
    <d v="2013-05-22T00:00:00.000"/>
    <x v="0"/>
    <x v="1"/>
    <s v="MMR012"/>
    <x v="19"/>
    <s v="MMR012004"/>
    <s v="Ya Da Nar Pon"/>
    <s v="MMR012004019"/>
    <s v="Ku Lar Taung Bway"/>
    <n v="196789"/>
    <s v="Taung Bwe"/>
    <s v="MMR012CMP021"/>
    <s v="Accessible by All"/>
    <s v=" 93.000815°"/>
    <s v=" 20.929649°"/>
    <n v="63"/>
    <n v="405"/>
    <n v="6.428571428571429"/>
    <s v="Camp/Community Leader"/>
    <s v="Estimate"/>
    <s v="Individual (non-hosted)"/>
    <m/>
  </r>
  <r>
    <n v="234"/>
    <d v="2013-05-22T00:00:00.000"/>
    <x v="0"/>
    <x v="1"/>
    <s v="MMR012"/>
    <x v="19"/>
    <s v="MMR012004"/>
    <s v="Ya Da Nar Pon"/>
    <s v="MMR012004019"/>
    <s v="Ah Lel"/>
    <n v="196786"/>
    <s v="Ah Lel"/>
    <s v="MMR012CMP022"/>
    <s v="Accessible by All"/>
    <s v=" 93.003205°"/>
    <s v=" 20.921425°"/>
    <n v="25"/>
    <n v="151"/>
    <n v="6.04"/>
    <s v="Camp/Community Leader"/>
    <s v="Estimate"/>
    <s v="Individual (non-hosted)"/>
    <m/>
  </r>
  <r>
    <n v="235"/>
    <d v="2013-05-22T00:00:00.000"/>
    <x v="0"/>
    <x v="1"/>
    <s v="MMR012"/>
    <x v="19"/>
    <s v="MMR012004"/>
    <s v="Wa Kin"/>
    <s v="MMR012004028"/>
    <s v="Ni Din"/>
    <n v="196829"/>
    <s v="Nidin"/>
    <s v="MMR012CMP023"/>
    <s v="Accessible by All"/>
    <s v=" 92.965981°"/>
    <s v=" 20.865687°"/>
    <n v="83"/>
    <n v="516"/>
    <n v="6.216867469879518"/>
    <s v="Camp/Community Leader"/>
    <s v="Estimate"/>
    <s v="Privately Hosted"/>
    <m/>
  </r>
  <r>
    <n v="242"/>
    <d v="2013-05-22T00:00:00.000"/>
    <x v="0"/>
    <x v="1"/>
    <s v="MMR012"/>
    <x v="19"/>
    <s v="MMR012004"/>
    <s v="Khaung Toke"/>
    <s v="MMR012004030"/>
    <s v="Khaung Toke (Ku Lar)"/>
    <n v="196838"/>
    <s v="Khaung Htoke"/>
    <s v="MMR012CMP030"/>
    <s v="Accessible by All"/>
    <s v=" 93.006498°"/>
    <s v=" 20.886998°"/>
    <n v="145"/>
    <n v="888"/>
    <n v="6.124137931034483"/>
    <s v="Camp/Community Leader"/>
    <s v="Estimate"/>
    <s v="Privately Hosted"/>
    <m/>
  </r>
  <r>
    <n v="237"/>
    <d v="2013-05-22T00:00:00.000"/>
    <x v="0"/>
    <x v="1"/>
    <s v="MMR012"/>
    <x v="19"/>
    <s v="MMR012004"/>
    <s v="Ah Lel Kyun"/>
    <s v="MMR012004031"/>
    <s v="Ah Lel Kyun Ku Lar"/>
    <n v="196842"/>
    <s v="Ah Lel Kyun"/>
    <s v="MMR012CMP025"/>
    <s v="Accessible by All"/>
    <s v=" 93.014350°"/>
    <s v=" 20.896740°"/>
    <n v="14"/>
    <n v="86"/>
    <n v="6.142857142857143"/>
    <s v="Camp/Community Leader"/>
    <s v="Estimate"/>
    <s v="Individual (non-hosted)"/>
    <m/>
  </r>
  <r>
    <n v="232"/>
    <d v="2013-05-22T00:00:00.000"/>
    <x v="0"/>
    <x v="1"/>
    <s v="MMR012"/>
    <x v="19"/>
    <s v="MMR012004"/>
    <s v="Hpa Yar Paung"/>
    <s v="MMR012004046"/>
    <s v="Taung Pauk"/>
    <n v="196873"/>
    <s v="Let Saung Kauk"/>
    <s v="MMR012CMP020"/>
    <s v="Accessible by All"/>
    <s v=" 92.982676°"/>
    <s v=" 20.805734°"/>
    <n v="18"/>
    <n v="148"/>
    <n v="8.222222222222221"/>
    <s v="Camp/Community Leader"/>
    <s v="Estimate"/>
    <s v="Individual (non-hosted)"/>
    <m/>
  </r>
  <r>
    <n v="238"/>
    <d v="2013-05-22T00:00:00.000"/>
    <x v="0"/>
    <x v="1"/>
    <s v="MMR012"/>
    <x v="19"/>
    <s v="MMR012004"/>
    <s v="Doke Kan Chaung"/>
    <s v="MMR012004063"/>
    <s v="In Bar Yi"/>
    <n v="196945"/>
    <s v="In Bar Yi"/>
    <s v="MMR012CMP026"/>
    <s v="Accessible by All"/>
    <s v=" 93.009900°"/>
    <s v=" 20.696820°"/>
    <n v="230"/>
    <n v="1367"/>
    <n v="5.943478260869565"/>
    <s v="Camp/Community Leader"/>
    <s v="Estimate"/>
    <s v="Individual (non-hosted)"/>
    <m/>
  </r>
  <r>
    <n v="240"/>
    <d v="2013-05-22T00:00:00.000"/>
    <x v="0"/>
    <x v="1"/>
    <s v="MMR012"/>
    <x v="19"/>
    <s v="MMR012004"/>
    <s v="Ah Pauk Wa"/>
    <s v="MMR012004064"/>
    <s v="Yun Nyar"/>
    <n v="196952"/>
    <s v="Yun Nyar"/>
    <s v="MMR012CMP028"/>
    <s v="Accessible by All"/>
    <s v=" 92.969350°"/>
    <s v=" 20.727590°"/>
    <n v="107"/>
    <n v="703"/>
    <n v="6.570093457943925"/>
    <s v="Camp/Community Leader"/>
    <s v="Estimate"/>
    <s v="Individual (non-hosted)"/>
    <m/>
  </r>
  <r>
    <n v="236"/>
    <d v="2013-05-22T00:00:00.000"/>
    <x v="0"/>
    <x v="1"/>
    <s v="MMR012"/>
    <x v="19"/>
    <s v="MMR012004"/>
    <s v="Ah Pauk Wa"/>
    <s v="MMR012004064"/>
    <s v="Ah Pauk Wa"/>
    <n v="196946"/>
    <s v="Ah Pauk Wa "/>
    <s v="MMR012CMP024"/>
    <s v="Accessible by All"/>
    <s v=" 92.961841°"/>
    <s v=" 20.720213°"/>
    <n v="90"/>
    <n v="808"/>
    <n v="8.977777777777778"/>
    <s v="Camp/Community Leader"/>
    <s v="Estimate"/>
    <s v="Individual (non-hosted)"/>
    <m/>
  </r>
  <r>
    <n v="241"/>
    <d v="2013-05-22T00:00:00.000"/>
    <x v="0"/>
    <x v="1"/>
    <s v="MMR012"/>
    <x v="19"/>
    <s v="MMR012004"/>
    <s v="Sin Oe Chaing"/>
    <s v="MMR012004069"/>
    <s v="Shwe Hlaing Ku Lar"/>
    <n v="196868"/>
    <s v="Shwe Hlaing"/>
    <s v="MMR012CMP029"/>
    <s v="Accessible by All"/>
    <s v=" 92.987400°"/>
    <s v=" 20.783320°"/>
    <n v="107"/>
    <n v="667"/>
    <n v="6.233644859813084"/>
    <s v="Camp/Community Leader"/>
    <s v="Estimate"/>
    <s v="Individual (non-hosted)"/>
    <m/>
  </r>
  <r>
    <n v="239"/>
    <d v="2013-05-22T00:00:00.000"/>
    <x v="0"/>
    <x v="1"/>
    <s v="MMR012"/>
    <x v="19"/>
    <s v="MMR012004"/>
    <s v="Goke Pi Htaunt"/>
    <s v="MMR012004074"/>
    <s v="Goke Pi Htaunt (Ku Lar)"/>
    <n v="196972"/>
    <s v="Goke Pi Htaunt"/>
    <s v="MMR012CMP027"/>
    <s v="Accessible by All"/>
    <s v=" 93.014090°"/>
    <s v=" 20.713260°"/>
    <n v="116"/>
    <n v="679"/>
    <n v="5.853448275862069"/>
    <s v="Camp/Community Leader"/>
    <s v="Estimate"/>
    <s v="Individual (non-hosted)"/>
    <m/>
  </r>
  <r>
    <n v="307"/>
    <d v="2013-05-22T00:00:00.000"/>
    <x v="0"/>
    <x v="1"/>
    <s v="MMR012"/>
    <x v="20"/>
    <s v="MMR012009"/>
    <s v="Laung Don"/>
    <s v="MMR012009025"/>
    <s v="Laung Done Zay Di Pyin"/>
    <n v="197868"/>
    <s v="Sin Thay Pyin"/>
    <s v="MMR012CMP094"/>
    <s v="Accessible by All"/>
    <s v=" 92.338031°"/>
    <s v=" 21.066664°"/>
    <n v="8"/>
    <n v="53"/>
    <n v="6.625"/>
    <s v="Camp/Community Leader"/>
    <s v="Estimate"/>
    <s v="Privately Hosted"/>
    <m/>
  </r>
  <r>
    <n v="298"/>
    <d v="2013-05-22T00:00:00.000"/>
    <x v="0"/>
    <x v="1"/>
    <s v="MMR012"/>
    <x v="20"/>
    <s v="MMR012009"/>
    <s v="Myo Thu Gyi"/>
    <s v="MMR012009063"/>
    <s v="Ywar Haung"/>
    <n v="197990"/>
    <s v="Thaung Paing Nyar"/>
    <s v="MMR012CMP086"/>
    <s v="Accessible by All"/>
    <s v=" 92.401294°"/>
    <s v=" 20.824517°"/>
    <n v="51"/>
    <n v="304"/>
    <n v="5.96078431372549"/>
    <s v="Camp/Community Leader"/>
    <s v="Estimate"/>
    <s v="Individual (non-hosted)"/>
    <m/>
  </r>
  <r>
    <n v="308"/>
    <d v="2013-05-22T00:00:00.000"/>
    <x v="0"/>
    <x v="1"/>
    <s v="MMR012"/>
    <x v="20"/>
    <s v="MMR012009"/>
    <s v="Myo Thu Gyi"/>
    <s v="MMR012009063"/>
    <m/>
    <m/>
    <s v="Ward-6"/>
    <s v="MMR012CMP095"/>
    <s v="Accessible by All"/>
    <s v=" 92.416683°"/>
    <s v=" 20.833831°"/>
    <n v="39"/>
    <n v="268"/>
    <n v="6.871794871794871"/>
    <s v="Camp/Community Leader"/>
    <s v="Estimate"/>
    <s v="Privately Hosted"/>
    <m/>
  </r>
  <r>
    <n v="291"/>
    <d v="2013-05-22T00:00:00.000"/>
    <x v="0"/>
    <x v="1"/>
    <s v="MMR012"/>
    <x v="20"/>
    <s v="MMR012009"/>
    <s v="Ba Gone Nar"/>
    <s v="MMR012009066"/>
    <s v="Baw Di Kone(No standard name yet"/>
    <n v="217897"/>
    <s v="Baw Di Gone"/>
    <s v="MMR012CMP079"/>
    <s v="Accessible by All"/>
    <s v=" 92.416264°"/>
    <s v=" 20.796128°"/>
    <n v="25"/>
    <n v="112"/>
    <n v="4.48"/>
    <s v="Camp/Community Leader"/>
    <s v="Estimate"/>
    <s v="Planned Camp "/>
    <m/>
  </r>
  <r>
    <n v="293"/>
    <d v="2013-05-22T00:00:00.000"/>
    <x v="0"/>
    <x v="1"/>
    <s v="MMR012"/>
    <x v="20"/>
    <s v="MMR012009"/>
    <s v="Ba Gone Nar"/>
    <s v="MMR012009066"/>
    <s v="Kan Thar Yar(No standard name yet)"/>
    <n v="217895"/>
    <s v="Kan Thar Yar"/>
    <s v="MMR012CMP081"/>
    <s v="Accessible by All"/>
    <s v=" 92.423364°"/>
    <s v=" 20.801544°"/>
    <n v="13"/>
    <n v="72"/>
    <n v="5.538461538461538"/>
    <s v="Camp/Community Leader"/>
    <s v="Estimate"/>
    <s v="Planned Camp "/>
    <m/>
  </r>
  <r>
    <n v="292"/>
    <d v="2013-05-22T00:00:00.000"/>
    <x v="0"/>
    <x v="1"/>
    <s v="MMR012"/>
    <x v="20"/>
    <s v="MMR012009"/>
    <s v="(Du) Chee Yar Tan"/>
    <s v="MMR012009069"/>
    <s v="King Chaung(No standard name yet)"/>
    <n v="217898"/>
    <s v="Kin Chaung"/>
    <s v="MMR012CMP080"/>
    <s v="Accessible by All"/>
    <s v=" 92.424139°"/>
    <s v=" 20.762731°"/>
    <n v="26"/>
    <n v="138"/>
    <n v="5.3076923076923075"/>
    <s v="Camp/Community Leader"/>
    <s v="Estimate"/>
    <s v="Planned Camp "/>
    <m/>
  </r>
  <r>
    <n v="300"/>
    <d v="2013-05-22T00:00:00.000"/>
    <x v="0"/>
    <x v="1"/>
    <s v="MMR012"/>
    <x v="20"/>
    <s v="MMR012009"/>
    <s v="Than Dar"/>
    <s v="MMR012009075"/>
    <s v="Myo Thu Gyi (Yar Zar Bi)"/>
    <n v="197988"/>
    <s v="Du Than Dar"/>
    <s v="MMR012CMP088"/>
    <s v="Accessible by All"/>
    <s v=" 92.443428°"/>
    <s v=" 20.714847°"/>
    <n v="46"/>
    <n v="338"/>
    <n v="7.3478260869565215"/>
    <s v="Camp/Community Leader"/>
    <s v="Estimate"/>
    <s v="Privately Hosted"/>
    <m/>
  </r>
  <r>
    <n v="299"/>
    <d v="2013-05-22T00:00:00.000"/>
    <x v="0"/>
    <x v="1"/>
    <s v="MMR012"/>
    <x v="20"/>
    <s v="MMR012009"/>
    <s v="Zaw Ma Tet"/>
    <s v="MMR012009078"/>
    <s v="Zaw Ma Tet"/>
    <n v="198045"/>
    <s v="Lamber Gone Nah"/>
    <s v="MMR012CMP087"/>
    <s v="Accessible by All"/>
    <s v=" 92.426886°"/>
    <s v=" 20.717331°"/>
    <n v="56"/>
    <n v="354"/>
    <n v="6.321428571428571"/>
    <s v="Camp/Community Leader"/>
    <s v="Estimate"/>
    <s v="Individual (non-hosted)"/>
    <m/>
  </r>
  <r>
    <n v="301"/>
    <d v="2013-05-22T00:00:00.000"/>
    <x v="0"/>
    <x v="1"/>
    <s v="MMR012"/>
    <x v="20"/>
    <s v="MMR012009"/>
    <s v="Zaw Ma Tet"/>
    <s v="MMR012009078"/>
    <s v="Hin Thar Ya"/>
    <n v="198049"/>
    <s v="Alima Fara"/>
    <s v="MMR012CMP089"/>
    <s v="Accessible by All"/>
    <s v=" 92.435075°"/>
    <s v=" 20.714533°"/>
    <n v="18"/>
    <n v="123"/>
    <n v="6.833333333333333"/>
    <s v="Camp/Community Leader"/>
    <s v="Estimate"/>
    <s v="Privately Hosted"/>
    <m/>
  </r>
  <r>
    <n v="289"/>
    <d v="2013-05-22T00:00:00.000"/>
    <x v="0"/>
    <x v="1"/>
    <s v="MMR012"/>
    <x v="20"/>
    <s v="MMR012009"/>
    <s v="Tha Yae Kone Tan"/>
    <s v="MMR012009080"/>
    <s v="Tha Ray Kon Baung"/>
    <n v="198016"/>
    <s v="Tha Yay Kone Baung"/>
    <s v="MMR012CMP077"/>
    <s v="Accessible by All"/>
    <s v=" 92.429600°"/>
    <s v=" 20.729867°"/>
    <n v="103"/>
    <n v="485"/>
    <n v="4.70873786407767"/>
    <s v="Camp/Community Leader"/>
    <s v="Estimate"/>
    <s v="Planned Camp "/>
    <m/>
  </r>
  <r>
    <n v="294"/>
    <d v="2013-05-22T00:00:00.000"/>
    <x v="0"/>
    <x v="1"/>
    <s v="MMR012"/>
    <x v="20"/>
    <s v="MMR012009"/>
    <s v="Urban"/>
    <s v="MMR012009701"/>
    <m/>
    <m/>
    <s v="Nyaung Pin Hla"/>
    <s v="MMR012CMP082"/>
    <s v="Accessible by All"/>
    <s v=" 92.362197°"/>
    <s v=" 20.824778°"/>
    <n v="18"/>
    <n v="108"/>
    <n v="6"/>
    <s v="Camp/Community Leader"/>
    <s v="Estimate"/>
    <s v="Individual (non-hosted)"/>
    <s v="Ward Name not available"/>
  </r>
  <r>
    <n v="295"/>
    <d v="2013-05-22T00:00:00.000"/>
    <x v="0"/>
    <x v="1"/>
    <s v="MMR012"/>
    <x v="20"/>
    <s v="MMR012009"/>
    <s v="Myo Ma (North) Ward"/>
    <s v="MMR012009701"/>
    <m/>
    <s v="MMR012009701503"/>
    <s v="Myoma Myauk"/>
    <s v="MMR012CMP083"/>
    <s v="Accessible by All"/>
    <s v=" 92.362933°"/>
    <s v=" 20.827044°"/>
    <n v="93"/>
    <n v="725"/>
    <n v="7.795698924731183"/>
    <s v="Camp/Community Leader"/>
    <s v="Estimate"/>
    <s v="Individual (non-hosted)"/>
    <m/>
  </r>
  <r>
    <n v="296"/>
    <d v="2013-05-22T00:00:00.000"/>
    <x v="0"/>
    <x v="1"/>
    <s v="MMR012"/>
    <x v="20"/>
    <s v="MMR012009"/>
    <s v="Myo Ma (North) Ward"/>
    <s v="MMR012009701"/>
    <m/>
    <s v="MMR012009701503"/>
    <s v="Bomu Ywa"/>
    <s v="MMR012CMP084"/>
    <s v="Accessible by All"/>
    <s v=" 92.365794°"/>
    <s v=" 20.819958°"/>
    <n v="50"/>
    <n v="335"/>
    <n v="6.7"/>
    <s v="Camp/Community Leader"/>
    <s v="Estimate"/>
    <s v="Privately Hosted"/>
    <m/>
  </r>
  <r>
    <n v="297"/>
    <d v="2013-05-22T00:00:00.000"/>
    <x v="0"/>
    <x v="1"/>
    <s v="MMR012"/>
    <x v="20"/>
    <s v="MMR012009"/>
    <s v="Ywar Thit Kay Ward"/>
    <s v="MMR012009701"/>
    <m/>
    <s v="MMR012009701505"/>
    <s v="Ywa thit Kay"/>
    <s v="MMR012CMP085"/>
    <s v="Accessible by All"/>
    <s v=" 92.367853°"/>
    <s v=" 20.825306°"/>
    <n v="20"/>
    <n v="154"/>
    <n v="7.7"/>
    <s v="Camp/Community Leader"/>
    <s v="Estimate"/>
    <s v="Individual (non-hosted)"/>
    <m/>
  </r>
  <r>
    <n v="288"/>
    <d v="2013-05-22T00:00:00.000"/>
    <x v="2"/>
    <x v="1"/>
    <s v="MMR012"/>
    <x v="20"/>
    <s v="MMR012009"/>
    <s v="NA"/>
    <s v="NA"/>
    <s v="NA"/>
    <s v="NA"/>
    <s v="Maw Ya Waddy"/>
    <s v="MMR012CMP076"/>
    <s v="Accessible by All"/>
    <s v="NA"/>
    <s v="NA"/>
    <n v="0"/>
    <n v="0"/>
    <s v="Camp/Community Leader"/>
    <s v="Estimate"/>
    <s v="Planned Camp "/>
    <m/>
    <m/>
  </r>
  <r>
    <n v="290"/>
    <d v="2013-05-22T00:00:00.000"/>
    <x v="2"/>
    <x v="1"/>
    <s v="MMR012"/>
    <x v="20"/>
    <s v="MMR012009"/>
    <s v="NA"/>
    <s v="NA"/>
    <s v="NA"/>
    <s v="NA"/>
    <s v="Kyaing Gyi"/>
    <s v="MMR012CMP078"/>
    <s v="Accessible by All"/>
    <s v="NA"/>
    <s v="NA"/>
    <n v="0"/>
    <n v="0"/>
    <s v="Camp/Community Leader"/>
    <s v="Estimate"/>
    <s v="Planned Camp"/>
    <m/>
    <m/>
  </r>
  <r>
    <n v="226"/>
    <d v="2013-05-22T00:00:00.000"/>
    <x v="0"/>
    <x v="1"/>
    <s v="MMR012"/>
    <x v="21"/>
    <s v="MMR012006"/>
    <s v="Ah Ngu"/>
    <s v="MMR012006001"/>
    <s v="Pyin Taw Che"/>
    <n v="217973"/>
    <s v="Taung Paw "/>
    <s v="MMR012CMP014"/>
    <s v="Accessible by All"/>
    <s v=" 93.370038°"/>
    <s v=" 20.037655°"/>
    <n v="705"/>
    <n v="3900"/>
    <n v="5.531914893617022"/>
    <s v="Camp/Community Leader"/>
    <s v="Estimate"/>
    <s v="Planned Camp"/>
    <m/>
  </r>
  <r>
    <n v="225"/>
    <d v="2013-05-22T00:00:00.000"/>
    <x v="0"/>
    <x v="1"/>
    <s v="MMR012"/>
    <x v="21"/>
    <s v="MMR012006"/>
    <s v="Kan Thar Htwet Wa Ward"/>
    <s v="MMR012006701"/>
    <m/>
    <s v="MMR012006701502"/>
    <s v="Kan Thar Htwat Wa"/>
    <s v="MMR012CMP013"/>
    <s v="Accessible by All"/>
    <s v=" 93.373951°"/>
    <s v=" 20.041981°"/>
    <n v="44"/>
    <n v="269"/>
    <n v="6.113636363636363"/>
    <s v="Camp/Community Leader"/>
    <s v="Estimate"/>
    <s v="Planned Camp"/>
    <m/>
  </r>
  <r>
    <n v="214"/>
    <d v="2013-05-22T00:00:00.000"/>
    <x v="0"/>
    <x v="1"/>
    <s v="MMR012"/>
    <x v="22"/>
    <s v="MMR012005"/>
    <s v="Kin Seik"/>
    <s v="MMR012005001"/>
    <s v="Thar Dar"/>
    <n v="196997"/>
    <s v="Tha Dar"/>
    <s v="MMR012CMP002"/>
    <s v="Accessible by All"/>
    <s v=" 93.257272°"/>
    <s v=" 20.392138°"/>
    <n v="203"/>
    <n v="1006"/>
    <n v="4.955665024630542"/>
    <s v="Camp/Community Leader"/>
    <s v="Estimate"/>
    <s v="Individual (non-hosted)"/>
    <m/>
  </r>
  <r>
    <n v="213"/>
    <d v="2013-05-22T00:00:00.000"/>
    <x v="0"/>
    <x v="1"/>
    <s v="MMR012"/>
    <x v="22"/>
    <s v="MMR012005"/>
    <s v="Kin Seik"/>
    <s v="MMR012005001"/>
    <s v="Kin Seik"/>
    <n v="196984"/>
    <s v="Paik Thay"/>
    <s v="MMR012CMP001"/>
    <s v="Accessible by All"/>
    <s v=" 93.271642°"/>
    <s v=" 20.377523°"/>
    <n v="19"/>
    <n v="149"/>
    <n v="7.842105263157895"/>
    <s v="Camp/Community Leader"/>
    <s v="Estimate"/>
    <s v="Individual (non-hosted)"/>
    <m/>
  </r>
  <r>
    <n v="215"/>
    <d v="2013-05-22T00:00:00.000"/>
    <x v="0"/>
    <x v="1"/>
    <s v="MMR012"/>
    <x v="22"/>
    <s v="MMR012005"/>
    <s v="Chaik Taung"/>
    <s v="MMR012005003"/>
    <s v="San Htoe Tan"/>
    <n v="196995"/>
    <s v="San Htoe Tan"/>
    <s v="MMR012CMP003"/>
    <s v="Accessible by All"/>
    <s v=" 93.249670°"/>
    <s v=" 20.399020°"/>
    <n v="86"/>
    <n v="476"/>
    <n v="5.534883720930233"/>
    <s v="Camp/Community Leader"/>
    <s v="Estimate"/>
    <s v="Individual (non-hosted)"/>
    <m/>
  </r>
  <r>
    <n v="220"/>
    <d v="2013-05-22T00:00:00.000"/>
    <x v="0"/>
    <x v="1"/>
    <s v="MMR012"/>
    <x v="22"/>
    <s v="MMR012005"/>
    <s v="San Bar Lay"/>
    <s v="MMR012005009"/>
    <s v="Zi War"/>
    <n v="197025"/>
    <s v="Sam Ba Le"/>
    <s v="MMR012CMP008"/>
    <s v="Accessible by All"/>
    <s v=" 93.313628°"/>
    <s v=" 20.407971°"/>
    <n v="224"/>
    <n v="1305"/>
    <n v="5.825892857142857"/>
    <s v="Camp/Community Leader"/>
    <s v="Estimate"/>
    <s v="Individual (non-hosted)"/>
    <m/>
  </r>
  <r>
    <n v="219"/>
    <d v="2013-05-22T00:00:00.000"/>
    <x v="0"/>
    <x v="1"/>
    <s v="MMR012"/>
    <x v="22"/>
    <s v="MMR012005"/>
    <s v="San Bar Lay"/>
    <s v="MMR012005009"/>
    <s v="Thay Kan"/>
    <n v="197021"/>
    <s v="Thay Kan"/>
    <s v="MMR012CMP007"/>
    <s v="Accessible by All"/>
    <s v=" 93.321957°"/>
    <s v=" 20.403736°"/>
    <n v="15"/>
    <n v="79"/>
    <n v="5.266666666666667"/>
    <s v="Camp/Community Leader"/>
    <s v="Estimate"/>
    <s v="Individual (non-hosted)"/>
    <m/>
  </r>
  <r>
    <n v="217"/>
    <d v="2013-05-22T00:00:00.000"/>
    <x v="0"/>
    <x v="1"/>
    <s v="MMR012"/>
    <x v="22"/>
    <s v="MMR012005"/>
    <s v="Tha Yet Oke"/>
    <s v="MMR012005017"/>
    <s v="Tha Yet Oke"/>
    <n v="197062"/>
    <s v="Tha Yet Oak"/>
    <s v="MMR012CMP005"/>
    <s v="Accessible by All"/>
    <s v=" 93.258574°"/>
    <s v=" 20.587142°"/>
    <n v="229"/>
    <n v="1565"/>
    <n v="6.834061135371179"/>
    <s v="Camp/Community Leader"/>
    <s v="Estimate"/>
    <s v="Individual (non-hosted)"/>
    <m/>
  </r>
  <r>
    <n v="216"/>
    <d v="2013-05-22T00:00:00.000"/>
    <x v="0"/>
    <x v="1"/>
    <s v="MMR012"/>
    <x v="22"/>
    <s v="MMR012005"/>
    <s v="Shwe Ta Mar"/>
    <s v="MMR012005018"/>
    <s v="Na Ga Yar Pyin"/>
    <n v="197063"/>
    <s v="Nagara Pauktaw"/>
    <s v="MMR012CMP004"/>
    <s v="Accessible by All"/>
    <s v=" 93.258476°"/>
    <s v=" 20.554084°"/>
    <n v="10"/>
    <n v="80"/>
    <n v="8"/>
    <s v="Camp/Community Leader"/>
    <s v="Estimate"/>
    <s v="Privately Hosted"/>
    <m/>
  </r>
  <r>
    <n v="218"/>
    <d v="2013-05-22T00:00:00.000"/>
    <x v="0"/>
    <x v="1"/>
    <s v="MMR012"/>
    <x v="22"/>
    <s v="MMR012005"/>
    <s v="Sa Par Htar"/>
    <s v="MMR012005032"/>
    <s v="Aung Taing"/>
    <n v="197150"/>
    <s v="Aung Taing"/>
    <s v="MMR012CMP006"/>
    <s v="Accessible by All"/>
    <s v=" 93.299485°"/>
    <s v=" 20.480898°"/>
    <n v="86"/>
    <n v="492"/>
    <n v="5.72093023255814"/>
    <s v="Camp/Community Leader"/>
    <s v="Estimate"/>
    <s v="Individual (non-hosted)"/>
    <m/>
  </r>
  <r>
    <n v="221"/>
    <d v="2013-05-22T00:00:00.000"/>
    <x v="0"/>
    <x v="1"/>
    <s v="MMR012"/>
    <x v="23"/>
    <s v="MMR012003"/>
    <s v="Pu Rein"/>
    <s v="MMR012003004"/>
    <s v="Pu Rein"/>
    <n v="196428"/>
    <s v="Pa Rein"/>
    <s v="MMR012CMP009"/>
    <s v="Accessible by All"/>
    <s v=" 93.245551°"/>
    <s v=" 20.576577°"/>
    <n v="204"/>
    <n v="1400"/>
    <n v="6.862745098039215"/>
    <s v="Camp/Community Leader"/>
    <s v="Estimate"/>
    <s v="Individual (non-hosted)"/>
    <m/>
  </r>
  <r>
    <n v="224"/>
    <d v="2013-05-22T00:00:00.000"/>
    <x v="0"/>
    <x v="1"/>
    <s v="MMR012"/>
    <x v="23"/>
    <s v="MMR012003"/>
    <s v="Sin Oe"/>
    <s v="MMR012003006"/>
    <s v="Raw Ma Ni"/>
    <n v="196441"/>
    <s v="Raw Ma Ni Sin Oe"/>
    <s v="MMR012CMP012"/>
    <s v="Accessible by All"/>
    <s v=" 93.239520°"/>
    <s v=" 20.616920°"/>
    <n v="10"/>
    <n v="61"/>
    <n v="6.1"/>
    <s v="Camp/Community Leader"/>
    <s v="Estimate"/>
    <s v="Collective Centre"/>
    <m/>
  </r>
  <r>
    <n v="222"/>
    <d v="2013-05-22T00:00:00.000"/>
    <x v="0"/>
    <x v="1"/>
    <s v="MMR012"/>
    <x v="23"/>
    <s v="MMR012003"/>
    <s v="Yin Thei"/>
    <s v="MMR012003026"/>
    <s v="Yin Thei"/>
    <n v="196507"/>
    <s v="Yai Thei-Muslim"/>
    <s v="MMR012CMP010"/>
    <s v="Accessible by All"/>
    <s v=" 93.217040°"/>
    <s v=" 20.501758°"/>
    <n v="398"/>
    <n v="2544"/>
    <n v="6.391959798994975"/>
    <s v="Camp/Community Leader"/>
    <s v="Estimate"/>
    <s v="Individual (non-hosted)"/>
    <m/>
  </r>
  <r>
    <n v="223"/>
    <d v="2013-05-22T00:00:00.000"/>
    <x v="0"/>
    <x v="1"/>
    <s v="MMR012"/>
    <x v="23"/>
    <s v="MMR012003"/>
    <s v="Urban"/>
    <s v="MMR012003701"/>
    <m/>
    <m/>
    <s v="Myat Buddha Mandine Monastery"/>
    <s v="MMR012CMP011"/>
    <s v="Accessible by All"/>
    <s v=" 93.187996°"/>
    <s v=" 20.589569°"/>
    <n v="31"/>
    <n v="130"/>
    <n v="4.193548387096774"/>
    <s v="Camp/Community Leader"/>
    <s v="Estimate"/>
    <s v="Collective Centre"/>
    <s v="Ward Name not available"/>
  </r>
  <r>
    <n v="229"/>
    <d v="2013-05-22T00:00:00.000"/>
    <x v="0"/>
    <x v="1"/>
    <s v="MMR012"/>
    <x v="24"/>
    <s v="MMR012007"/>
    <s v="Pon Nar Gyi"/>
    <s v="MMR012007012"/>
    <s v="Cha Eik"/>
    <n v="197414"/>
    <s v="Nget Chaung"/>
    <s v="MMR012CMP017"/>
    <s v="Accessible by All"/>
    <s v=" 93.154552°"/>
    <s v=" 20.073438°"/>
    <n v="171"/>
    <n v="1029"/>
    <n v="6.017543859649122"/>
    <s v="Camp/Community Leader"/>
    <s v="Estimate"/>
    <s v="Self-Settled Camp"/>
    <m/>
  </r>
  <r>
    <n v="230"/>
    <d v="2013-05-22T00:00:00.000"/>
    <x v="0"/>
    <x v="1"/>
    <s v="MMR012"/>
    <x v="24"/>
    <s v="MMR012007"/>
    <s v="Pein Hne Chaung"/>
    <s v="MMR012007049"/>
    <s v="Kyein Ni Pyin"/>
    <n v="197533"/>
    <s v="Kyein Ni Pyin"/>
    <s v="MMR012CMP018"/>
    <s v="Accessible by All"/>
    <s v=" 93.010369°"/>
    <s v=" 20.090183°"/>
    <n v="778"/>
    <n v="4401"/>
    <n v="5.656812339331619"/>
    <s v="Camp/Community Leader"/>
    <s v="Estimate"/>
    <s v="Planned Camp"/>
    <m/>
  </r>
  <r>
    <n v="228"/>
    <d v="2013-05-22T00:00:00.000"/>
    <x v="0"/>
    <x v="1"/>
    <s v="MMR012"/>
    <x v="24"/>
    <s v="MMR012007"/>
    <s v="Pein Hne Chaung"/>
    <s v="MMR012007049"/>
    <s v="Kyauk Pyin Seik"/>
    <n v="197537"/>
    <s v="Ah Nauk Ywe"/>
    <s v="MMR012CMP016"/>
    <s v="Accessible by All"/>
    <s v=" 92.985095°"/>
    <s v=" 20.108102°"/>
    <n v="773"/>
    <n v="3773"/>
    <n v="4.88098318240621"/>
    <s v="Camp/Community Leader"/>
    <s v="Estimate"/>
    <s v="Planned Camp"/>
    <m/>
  </r>
  <r>
    <n v="302"/>
    <d v="2013-05-22T00:00:00.000"/>
    <x v="0"/>
    <x v="1"/>
    <s v="MMR012"/>
    <x v="24"/>
    <s v="MMR012007"/>
    <s v="Sin Tet Maw"/>
    <s v="MMR012007051"/>
    <s v="Sin Tet Maw (Ku Lar)"/>
    <n v="197548"/>
    <s v="Sin Tet Maw Host Family"/>
    <s v="MMR012CMP096"/>
    <s v="Accessible by All"/>
    <s v=" 92.993759°"/>
    <s v=" 20.064226°"/>
    <n v="1145"/>
    <n v="6873"/>
    <n v="6.002620087336244"/>
    <s v="Camp/Community Leader"/>
    <s v="Estimate"/>
    <s v="Individual (non hosted)"/>
    <m/>
  </r>
  <r>
    <n v="231"/>
    <d v="2013-05-22T00:00:00.000"/>
    <x v="0"/>
    <x v="1"/>
    <s v="MMR012"/>
    <x v="24"/>
    <s v="MMR012007"/>
    <s v="Sin Tet Maw"/>
    <s v="MMR012007051"/>
    <s v="Sin Tet Maw (Ku Lar)"/>
    <n v="197548"/>
    <s v="Sin Tet Maw"/>
    <s v="MMR012CMP019"/>
    <s v="Accessible by All"/>
    <s v=" 92.993759°"/>
    <s v=" 20.064226°"/>
    <n v="845"/>
    <n v="3803"/>
    <n v="4.500591715976332"/>
    <s v="Camp/Community Leader"/>
    <s v="Estimate"/>
    <s v="Planned Camp"/>
    <m/>
  </r>
  <r>
    <n v="227"/>
    <d v="2013-05-22T00:00:00.000"/>
    <x v="0"/>
    <x v="1"/>
    <s v="MMR012"/>
    <x v="24"/>
    <s v="MMR012007"/>
    <s v="Ba Wan Chaung Wa Su Ward"/>
    <s v="MMR012007701"/>
    <m/>
    <s v="MMR012007701504"/>
    <s v="Ba Wan Chaung Wa Su"/>
    <s v="MMR012CMP015"/>
    <s v="Accessible by All"/>
    <s v=" 93.067891°"/>
    <s v=" 20.173468°"/>
    <n v="24"/>
    <n v="97"/>
    <n v="4.041666666666667"/>
    <s v="Camp/Community Leader"/>
    <s v="Estimate"/>
    <s v="Planned Camp"/>
    <m/>
  </r>
  <r>
    <n v="249"/>
    <d v="2013-05-22T00:00:00.000"/>
    <x v="0"/>
    <x v="1"/>
    <s v="MMR012"/>
    <x v="25"/>
    <s v="MMR012013"/>
    <s v="Kha Maung Chi Taing"/>
    <s v="MMR012013020"/>
    <m/>
    <m/>
    <s v="Ramree Ward 6"/>
    <s v="MMR012CMP037"/>
    <s v="Accessible by All"/>
    <s v=" 93.857593°"/>
    <s v=" 19.088283°"/>
    <n v="30"/>
    <n v="180"/>
    <n v="6"/>
    <s v="Camp/Community Leader"/>
    <s v="Estimate"/>
    <s v="Planned Camp"/>
    <s v="Urban"/>
  </r>
  <r>
    <n v="250"/>
    <d v="2013-05-22T00:00:00.000"/>
    <x v="0"/>
    <x v="1"/>
    <s v="MMR012"/>
    <x v="25"/>
    <s v="MMR012013"/>
    <s v="Kha Maung Chi Taing"/>
    <s v="MMR012013020"/>
    <m/>
    <m/>
    <s v="Ramree Town"/>
    <s v="MMR012CMP038"/>
    <s v="Accessible by All"/>
    <s v="93.86477°"/>
    <s v="19.091230°"/>
    <n v="13"/>
    <n v="80"/>
    <n v="6.153846153846154"/>
    <s v="Camp/Community Leader"/>
    <s v="Estimate"/>
    <s v="Privately Hosted"/>
    <s v="Urban"/>
  </r>
  <r>
    <n v="246"/>
    <d v="2013-05-22T00:00:00.000"/>
    <x v="0"/>
    <x v="1"/>
    <s v="MMR012"/>
    <x v="26"/>
    <s v="MMR012008"/>
    <s v="Chut Pyin"/>
    <s v="MMR012008006"/>
    <s v="Chut Pyin"/>
    <n v="197590"/>
    <s v="Ah Htet Nan Yar"/>
    <s v="MMR012CMP034"/>
    <s v="Accessible by All"/>
    <s v=" 92.640022°"/>
    <s v=" 20.569219°"/>
    <n v="252"/>
    <n v="1208"/>
    <n v="4.7936507936507935"/>
    <s v="Camp/Community Leader"/>
    <s v="Estimate"/>
    <s v="Individual (non-hosted)"/>
    <m/>
  </r>
  <r>
    <n v="245"/>
    <d v="2013-05-22T00:00:00.000"/>
    <x v="0"/>
    <x v="1"/>
    <s v="MMR012"/>
    <x v="26"/>
    <s v="MMR012008"/>
    <s v="Koe Tan Kauk"/>
    <s v="MMR012008031"/>
    <s v="Chein Khar Li (Ku Lar)"/>
    <n v="197651"/>
    <s v="Koe Tan Kauk/Chein Khar Li"/>
    <s v="MMR012CMP033"/>
    <s v="Accessible by All"/>
    <s v=" 92.650180°"/>
    <s v=" 20.432280°"/>
    <n v="408"/>
    <n v="2093"/>
    <n v="5.129901960784314"/>
    <s v="Camp/Community Leader"/>
    <s v="Estimate"/>
    <s v="Individual (non-hosted)"/>
    <m/>
  </r>
  <r>
    <n v="244"/>
    <d v="2013-05-22T00:00:00.000"/>
    <x v="0"/>
    <x v="1"/>
    <s v="MMR012"/>
    <x v="26"/>
    <s v="MMR012008"/>
    <s v="Ah Nauk Pyin"/>
    <s v="MMR012008072"/>
    <s v="Ah Nauk Pyin"/>
    <n v="197763"/>
    <s v="Ah Nauk Pyin"/>
    <s v="MMR012CMP032"/>
    <s v="Accessible by All"/>
    <s v=" 92.780916°"/>
    <s v=" 20.399271°"/>
    <n v="57"/>
    <n v="291"/>
    <n v="5.105263157894737"/>
    <s v="Camp/Community Leader"/>
    <s v="Estimate"/>
    <s v="Individual (non-hosted)"/>
    <m/>
  </r>
  <r>
    <n v="243"/>
    <d v="2013-05-22T00:00:00.000"/>
    <x v="0"/>
    <x v="1"/>
    <s v="MMR012"/>
    <x v="26"/>
    <s v="MMR012008"/>
    <s v="Nyaung Pin Gyi"/>
    <s v="MMR012008082"/>
    <s v="Nyaung Pin Gyi (Ku Lar)"/>
    <n v="197780"/>
    <s v="Nyaung Pin Gyi"/>
    <s v="MMR012CMP031"/>
    <s v="Accessible by All"/>
    <s v=" 92.786301°"/>
    <s v=" 20.336254°"/>
    <n v="52"/>
    <n v="416"/>
    <n v="8"/>
    <s v="Camp/Community Leader"/>
    <s v="Estimate"/>
    <s v="Individual (non-hosted)"/>
    <m/>
  </r>
  <r>
    <n v="270"/>
    <d v="2013-05-22T00:00:00.000"/>
    <x v="0"/>
    <x v="1"/>
    <s v="MMR012"/>
    <x v="27"/>
    <s v="MMR012001"/>
    <s v="Thin Pone Tan"/>
    <s v="MMR012001002"/>
    <s v="Thin Pone Tan"/>
    <n v="196129"/>
    <s v="Thin Pone Tan"/>
    <s v="MMR012CMP058"/>
    <s v="Accessible by All"/>
    <s v=" 92.836861°"/>
    <s v=" 20.226865°"/>
    <n v="28"/>
    <n v="137"/>
    <n v="4.892857142857143"/>
    <s v="Camp/Community Leader"/>
    <s v="Estimate"/>
    <s v="Privately Hosted"/>
    <m/>
  </r>
  <r>
    <n v="256"/>
    <d v="2013-05-22T00:00:00.000"/>
    <x v="0"/>
    <x v="1"/>
    <s v="MMR012"/>
    <x v="27"/>
    <s v="MMR012001"/>
    <s v="Aung Daing"/>
    <s v="MMR012001005"/>
    <s v="Hpwe Ywar Kone"/>
    <n v="196157"/>
    <s v="Phwe Yar Kone"/>
    <s v="MMR012CMP044"/>
    <s v="Accessible by All"/>
    <s v=" 92.788177°"/>
    <s v=" 20.207285°"/>
    <n v="400"/>
    <n v="2429"/>
    <n v="6.0725"/>
    <s v="Camp/Community Leader"/>
    <s v="Estimate"/>
    <s v="Planned Camp"/>
    <m/>
  </r>
  <r>
    <n v="257"/>
    <d v="2013-05-22T00:00:00.000"/>
    <x v="0"/>
    <x v="1"/>
    <s v="MMR012"/>
    <x v="27"/>
    <s v="MMR012001"/>
    <s v="Say Tha Mar"/>
    <s v="MMR012001010"/>
    <s v="Say Tha Mar Gyi"/>
    <n v="196154"/>
    <s v="Say Tha Mar Gyi"/>
    <s v="MMR012CMP045"/>
    <s v="Accessible by All"/>
    <s v=" 92.792480°"/>
    <s v=" 20.202525°"/>
    <n v="2508"/>
    <n v="13550"/>
    <n v="5.402711323763955"/>
    <s v="Camp/Community Leader"/>
    <s v="Estimate"/>
    <s v="Planned Camp"/>
    <m/>
  </r>
  <r>
    <n v="262"/>
    <d v="2013-05-22T00:00:00.000"/>
    <x v="0"/>
    <x v="1"/>
    <s v="MMR012"/>
    <x v="27"/>
    <s v="MMR012001"/>
    <s v="Say Tha Mar"/>
    <s v="MMR012001010"/>
    <s v="Say Tha Mar Gyi"/>
    <n v="196154"/>
    <s v="Pa Lin Pyin Ywar Thit"/>
    <s v="MMR012CMP050"/>
    <s v="Accessible by All"/>
    <s v=" 92.792959°"/>
    <s v=" 20.205295°"/>
    <n v="326"/>
    <n v="2411"/>
    <n v="7.395705521472393"/>
    <s v="Camp/Community Leader"/>
    <s v="Estimate"/>
    <s v="Self-Settled Camp"/>
    <m/>
  </r>
  <r>
    <n v="252"/>
    <d v="2013-05-22T00:00:00.000"/>
    <x v="0"/>
    <x v="1"/>
    <s v="MMR012"/>
    <x v="27"/>
    <s v="MMR012001"/>
    <s v="Khaung Doke Kar"/>
    <s v="MMR012001025"/>
    <s v="Baw Du Hpa"/>
    <n v="196192"/>
    <s v="Baw Du Pha"/>
    <s v="MMR012CMP040"/>
    <s v="Accessible by All"/>
    <s v=" 92.807419°"/>
    <s v=" 20.181238°"/>
    <n v="2350"/>
    <n v="14791"/>
    <n v="6.294042553191489"/>
    <s v="Camp/Community Leader"/>
    <s v="Estimate"/>
    <s v="Planned Camp"/>
    <m/>
  </r>
  <r>
    <n v="255"/>
    <d v="2013-05-22T00:00:00.000"/>
    <x v="0"/>
    <x v="1"/>
    <s v="MMR012"/>
    <x v="27"/>
    <s v="MMR012001"/>
    <s v="Khaung Doke Kar"/>
    <s v="MMR012001025"/>
    <s v="Baw Du Hpa"/>
    <n v="196192"/>
    <s v="Ohn Taw Gyi 1"/>
    <s v="MMR012CMP043"/>
    <s v="Accessible by All"/>
    <s v=" 92.798677°"/>
    <s v=" 20.187751°"/>
    <n v="1073"/>
    <n v="6225"/>
    <n v="5.801491146318733"/>
    <s v="Camp/Community Leader"/>
    <s v="Estimate"/>
    <s v="Planned Camp"/>
    <m/>
  </r>
  <r>
    <n v="254"/>
    <d v="2013-05-22T00:00:00.000"/>
    <x v="0"/>
    <x v="1"/>
    <s v="MMR012"/>
    <x v="27"/>
    <s v="MMR012001"/>
    <s v="Khaung Doke Kar"/>
    <s v="MMR012001025"/>
    <s v="Khaung Doke Kar"/>
    <n v="196191"/>
    <s v="Khaung Doke Khar "/>
    <s v="MMR012CMP042"/>
    <s v="Accessible by All"/>
    <s v=" 92.823167°"/>
    <s v=" 20.181778°"/>
    <n v="361"/>
    <n v="2108"/>
    <n v="5.839335180055402"/>
    <s v="Camp/Community Leader"/>
    <s v="Estimate"/>
    <s v="Planned Camp"/>
    <m/>
  </r>
  <r>
    <n v="303"/>
    <d v="2013-05-22T00:00:00.000"/>
    <x v="0"/>
    <x v="1"/>
    <s v="MMR012"/>
    <x v="27"/>
    <s v="MMR012001"/>
    <s v="Khaung Doke Kar"/>
    <s v="MMR012001025"/>
    <s v="Baw Du Hpa"/>
    <n v="196192"/>
    <s v="Ohn Taw Gyi 3"/>
    <s v="MMR012CMP090"/>
    <s v="Accessible by All"/>
    <s v="92.800694°"/>
    <s v="20.190056°"/>
    <n v="212"/>
    <n v="1177"/>
    <n v="5.55188679245283"/>
    <s v="Camp/Community Leader"/>
    <s v="Estimate"/>
    <s v="Planned Camp"/>
    <m/>
  </r>
  <r>
    <n v="258"/>
    <d v="2013-05-22T00:00:00.000"/>
    <x v="0"/>
    <x v="1"/>
    <s v="MMR012"/>
    <x v="27"/>
    <s v="MMR012001"/>
    <s v="Bu May"/>
    <s v="MMR012001027"/>
    <s v="Thea Chaung Ku Lar"/>
    <n v="196211"/>
    <s v="Thae Chaung"/>
    <s v="MMR012CMP046"/>
    <s v="Accessible by All"/>
    <s v=" 92.839417°"/>
    <s v=" 20.158500°"/>
    <n v="2462"/>
    <n v="15554"/>
    <n v="6.317627944760358"/>
    <s v="Camp/Community Leader"/>
    <s v="Estimate"/>
    <s v="Planned Camp"/>
    <m/>
  </r>
  <r>
    <n v="253"/>
    <d v="2013-05-22T00:00:00.000"/>
    <x v="0"/>
    <x v="1"/>
    <s v="MMR012"/>
    <x v="27"/>
    <s v="MMR012001"/>
    <s v="Bu May"/>
    <s v="MMR012001027"/>
    <s v="Dar Paing Ywar Thit"/>
    <n v="196206"/>
    <s v="Dar Pai"/>
    <s v="MMR012CMP041"/>
    <s v="Accessible by All"/>
    <s v=" 92.827427°"/>
    <s v=" 20.168460°"/>
    <n v="1716"/>
    <n v="10483"/>
    <n v="6.108974358974359"/>
    <s v="Camp/Community Leader"/>
    <s v="Estimate"/>
    <s v="Planned Camp"/>
    <m/>
  </r>
  <r>
    <n v="260"/>
    <d v="2013-05-22T00:00:00.000"/>
    <x v="0"/>
    <x v="1"/>
    <s v="MMR012"/>
    <x v="27"/>
    <s v="MMR012001"/>
    <s v="Bu May"/>
    <s v="MMR012001027"/>
    <s v="Kha War De Ywar Haung"/>
    <n v="196186"/>
    <s v="Thet Kae Pyin "/>
    <s v="MMR012CMP048"/>
    <s v="Accessible by All"/>
    <s v=" 92.842230°"/>
    <s v=" 20.181742°"/>
    <n v="664"/>
    <n v="3787"/>
    <n v="5.703313253012048"/>
    <s v="Camp/Community Leader"/>
    <s v="Estimate"/>
    <s v="Planned Camp"/>
    <m/>
  </r>
  <r>
    <n v="304"/>
    <d v="2013-05-22T00:00:00.000"/>
    <x v="0"/>
    <x v="1"/>
    <s v="MMR012"/>
    <x v="27"/>
    <s v="MMR012001"/>
    <s v="Bu May"/>
    <s v="MMR012001027"/>
    <s v="Kha War De Ywar Haung"/>
    <n v="196186"/>
    <s v="Thet Kae Pyin Host Family"/>
    <s v="MMR012CMP091"/>
    <s v="Accessible by All"/>
    <s v=" 92.842230°"/>
    <s v=" 20.181742°"/>
    <n v="614"/>
    <n v="4843"/>
    <n v="7.887622149837133"/>
    <s v="Camp/Community Leader"/>
    <s v="Estimate"/>
    <s v="Individual (non hosted)"/>
    <m/>
  </r>
  <r>
    <n v="259"/>
    <d v="2013-05-22T00:00:00.000"/>
    <x v="0"/>
    <x v="1"/>
    <s v="MMR012"/>
    <x v="27"/>
    <s v="MMR012001"/>
    <s v="Bu May"/>
    <s v="MMR012001027"/>
    <s v="Thea Chaung Ku Lar"/>
    <n v="196211"/>
    <s v="Thae Chaung (Kyaukphyu)"/>
    <s v="MMR012CMP047"/>
    <s v="Accessible by All"/>
    <s v=" 92.837577°"/>
    <s v=" 20.156842°"/>
    <n v="452"/>
    <n v="1700"/>
    <n v="3.7610619469026547"/>
    <s v="Camp/Community Leader"/>
    <s v="Estimate"/>
    <s v="Individual (non-hosted)"/>
    <m/>
  </r>
  <r>
    <n v="263"/>
    <d v="2013-05-22T00:00:00.000"/>
    <x v="0"/>
    <x v="1"/>
    <s v="MMR012"/>
    <x v="27"/>
    <s v="MMR012001"/>
    <s v="Bu May"/>
    <s v="MMR012001027"/>
    <s v="Thea Chaung Let Tha Mar Kone"/>
    <n v="196209"/>
    <s v="Bu May Ohn Taw"/>
    <s v="MMR012CMP051"/>
    <s v="Accessible by All"/>
    <s v=" 92.847967°"/>
    <s v=" 20.147108°"/>
    <n v="414"/>
    <n v="2722"/>
    <n v="6.57487922705314"/>
    <s v="Camp/Community Leader"/>
    <s v="Estimate"/>
    <s v="Self-Settled Camp"/>
    <m/>
  </r>
  <r>
    <n v="305"/>
    <d v="2013-05-22T00:00:00.000"/>
    <x v="0"/>
    <x v="1"/>
    <s v="MMR012"/>
    <x v="27"/>
    <s v="MMR012001"/>
    <s v="Bu May"/>
    <s v="MMR012001027"/>
    <s v="Bu May"/>
    <n v="196200"/>
    <s v="Maw Ti Ngar (TKP west)"/>
    <s v="MMR012CMP092"/>
    <s v="Accessible by All"/>
    <s v="NA"/>
    <s v="NA"/>
    <n v="225"/>
    <n v="1122"/>
    <n v="4.986666666666666"/>
    <s v="Camp/Community Leader"/>
    <s v="Estimate"/>
    <s v="Planned Camp"/>
    <m/>
  </r>
  <r>
    <n v="261"/>
    <d v="2013-05-22T00:00:00.000"/>
    <x v="0"/>
    <x v="1"/>
    <s v="MMR012"/>
    <x v="27"/>
    <s v="MMR012001"/>
    <s v="Bu May"/>
    <s v="MMR012001027"/>
    <s v="Hman Zi"/>
    <n v="196207"/>
    <s v="Hmanzi Junction"/>
    <s v="MMR012CMP049"/>
    <s v="Accessible by All"/>
    <s v=" 92.826407°"/>
    <s v=" 20.175169°"/>
    <n v="204"/>
    <n v="1092"/>
    <n v="5.352941176470588"/>
    <s v="Camp/Community Leader"/>
    <s v="Estimate"/>
    <s v="Planned Camp"/>
    <m/>
  </r>
  <r>
    <n v="264"/>
    <d v="2013-05-22T00:00:00.000"/>
    <x v="2"/>
    <x v="1"/>
    <s v="MMR012"/>
    <x v="27"/>
    <s v="MMR012001"/>
    <s v="Bu May"/>
    <s v="MMR012001027"/>
    <s v="Tin Bi"/>
    <n v="196216"/>
    <s v="Bu May Ohn Taw Shore"/>
    <s v="MMR012CMP052"/>
    <s v="Accessible by All"/>
    <s v=" 92.848348°"/>
    <s v=" 20.133385°"/>
    <n v="0"/>
    <n v="0"/>
    <s v="Camp/Community Leader"/>
    <s v="Estimate"/>
    <s v="Self-Settled Camp"/>
    <m/>
    <m/>
  </r>
  <r>
    <n v="274"/>
    <d v="2013-05-22T00:00:00.000"/>
    <x v="2"/>
    <x v="1"/>
    <s v="MMR012"/>
    <x v="27"/>
    <s v="MMR012001"/>
    <s v="Sin Ku Lan Ward"/>
    <s v="MMR012001701"/>
    <m/>
    <s v="MMR012001701512"/>
    <s v="Layaungwin Monastery"/>
    <s v="MMR012CMP062"/>
    <s v="Accessible by All"/>
    <s v=" 92.896006°"/>
    <s v=" 20.154331°"/>
    <n v="0"/>
    <n v="0"/>
    <s v="Camp/Community Leader"/>
    <s v="Estimate"/>
    <s v="Collective Centre"/>
    <m/>
    <m/>
  </r>
  <r>
    <n v="280"/>
    <d v="2013-05-22T00:00:00.000"/>
    <x v="2"/>
    <x v="1"/>
    <s v="MMR012"/>
    <x v="27"/>
    <s v="MMR012001"/>
    <s v="Sin Ku Lan Ward"/>
    <s v="MMR012001701"/>
    <m/>
    <s v="MMR012001701512"/>
    <s v="Sin Ku Lann Monastery"/>
    <s v="MMR012CMP068"/>
    <s v="Accessible by All"/>
    <s v=" 92.897933°"/>
    <s v=" 20.155850°"/>
    <n v="0"/>
    <n v="0"/>
    <s v="Camp/Community Leader"/>
    <s v="Estimate"/>
    <s v="Collective Centre"/>
    <m/>
    <m/>
  </r>
  <r>
    <n v="287"/>
    <d v="2013-05-22T00:00:00.000"/>
    <x v="2"/>
    <x v="1"/>
    <s v="MMR012"/>
    <x v="27"/>
    <s v="MMR012001"/>
    <s v="Sin Ku Lan Ward"/>
    <s v="MMR012001701"/>
    <m/>
    <s v="MMR012001701512"/>
    <s v="Weikzar Thaikdi Monastery"/>
    <s v="MMR012CMP075"/>
    <s v="Accessible by All"/>
    <s v=" 92.896533°"/>
    <s v=" 20.154650°"/>
    <n v="0"/>
    <n v="0"/>
    <s v="Camp/Community Leader"/>
    <s v="Estimate"/>
    <s v="Collective Centre"/>
    <m/>
    <m/>
  </r>
  <r>
    <n v="269"/>
    <d v="2013-05-22T00:00:00.000"/>
    <x v="0"/>
    <x v="1"/>
    <s v="MMR012"/>
    <x v="27"/>
    <s v="MMR012001"/>
    <s v="Ywar Gyi (North) Ward"/>
    <s v="MMR012001701"/>
    <m/>
    <s v="MMR012001701515"/>
    <s v="Dohn Taik Kwin"/>
    <s v="MMR012CMP057"/>
    <s v="Accessible by All"/>
    <s v=" 92.897178°"/>
    <s v=" 20.153129°"/>
    <n v="200"/>
    <n v="978"/>
    <n v="4.89"/>
    <s v="Camp/Community Leader"/>
    <s v="Estimate"/>
    <s v="Planned Camp"/>
    <m/>
  </r>
  <r>
    <n v="273"/>
    <d v="2013-05-22T00:00:00.000"/>
    <x v="2"/>
    <x v="1"/>
    <s v="MMR012"/>
    <x v="27"/>
    <s v="MMR012001"/>
    <s v="Ywar Gyi (North) Ward"/>
    <s v="MMR012001701"/>
    <m/>
    <s v="MMR012001701515"/>
    <s v="Gyit Chay Monastery"/>
    <s v="MMR012CMP061"/>
    <s v="Accessible by All"/>
    <s v=" 92.896409°"/>
    <s v=" 20.153754°"/>
    <n v="0"/>
    <n v="0"/>
    <s v="Camp/Community Leader"/>
    <s v="Estimate"/>
    <s v="Collective Centre"/>
    <m/>
    <m/>
  </r>
  <r>
    <n v="277"/>
    <d v="2013-05-22T00:00:00.000"/>
    <x v="2"/>
    <x v="1"/>
    <s v="MMR012"/>
    <x v="27"/>
    <s v="MMR012001"/>
    <s v="Ywar Gyi (North) Ward"/>
    <s v="MMR012001701"/>
    <m/>
    <s v="MMR012001701515"/>
    <s v="Shwe Zay Ti Monastery"/>
    <s v="MMR012CMP065"/>
    <s v="Accessible by All"/>
    <s v=" 92.894500°"/>
    <s v=" 20.146200°"/>
    <n v="0"/>
    <n v="0"/>
    <s v="Camp/Community Leader"/>
    <s v="Estimate"/>
    <s v="Collective Centre"/>
    <m/>
    <m/>
  </r>
  <r>
    <n v="279"/>
    <d v="2013-05-22T00:00:00.000"/>
    <x v="2"/>
    <x v="1"/>
    <s v="MMR012"/>
    <x v="27"/>
    <s v="MMR012001"/>
    <s v="Ywar Gyi (North) Ward"/>
    <s v="MMR012001701"/>
    <m/>
    <s v="MMR012001701515"/>
    <s v="Theit Di Kar Yone Monastery"/>
    <s v="MMR012CMP067"/>
    <s v="Accessible by All"/>
    <s v=" 92.896418°"/>
    <s v=" 20.152895°"/>
    <n v="0"/>
    <n v="0"/>
    <s v="Camp/Community Leader"/>
    <s v="Estimate"/>
    <s v="Collective Centre"/>
    <m/>
    <m/>
  </r>
  <r>
    <n v="281"/>
    <d v="2013-05-22T00:00:00.000"/>
    <x v="2"/>
    <x v="1"/>
    <s v="MMR012"/>
    <x v="27"/>
    <s v="MMR012001"/>
    <s v="Ywar Gyi (North) Ward"/>
    <s v="MMR012001701"/>
    <m/>
    <s v="MMR012001701515"/>
    <s v="Ar Thaw Ka Yone Monastery"/>
    <s v="MMR012CMP069"/>
    <s v="Accessible by All"/>
    <s v=" 92.895900°"/>
    <s v=" 20.153800°"/>
    <n v="0"/>
    <n v="0"/>
    <s v="Camp/Community Leader"/>
    <s v="Estimate"/>
    <s v="Collective Centre"/>
    <m/>
    <m/>
  </r>
  <r>
    <n v="282"/>
    <d v="2013-05-22T00:00:00.000"/>
    <x v="2"/>
    <x v="1"/>
    <s v="MMR012"/>
    <x v="27"/>
    <s v="MMR012001"/>
    <s v="Ywar Gyi (South) Ward"/>
    <s v="MMR012001701"/>
    <m/>
    <s v="MMR012001701516"/>
    <s v="Thangga Yarzar Monastery"/>
    <s v="MMR012CMP070"/>
    <s v="Accessible by All"/>
    <s v=" 92.892432°"/>
    <s v=" 20.146041°"/>
    <n v="0"/>
    <n v="0"/>
    <s v="Camp/Community Leader"/>
    <s v="Estimate"/>
    <s v="Collective Centre"/>
    <m/>
    <m/>
  </r>
  <r>
    <n v="283"/>
    <d v="2013-05-22T00:00:00.000"/>
    <x v="2"/>
    <x v="1"/>
    <s v="MMR012"/>
    <x v="27"/>
    <s v="MMR012001"/>
    <s v="Ywar Gyi (South) Ward"/>
    <s v="MMR012001701"/>
    <m/>
    <s v="MMR012001701516"/>
    <s v="Kha Maung Taw Monastery"/>
    <s v="MMR012CMP071"/>
    <s v="Accessible by All"/>
    <s v=" 92.894450°"/>
    <s v=" 20.147100°"/>
    <n v="0"/>
    <n v="0"/>
    <s v="Camp/Community Leader"/>
    <s v="Estimate"/>
    <s v="Collective Centre"/>
    <m/>
    <m/>
  </r>
  <r>
    <n v="286"/>
    <d v="2013-05-22T00:00:00.000"/>
    <x v="2"/>
    <x v="1"/>
    <s v="MMR012"/>
    <x v="27"/>
    <s v="MMR012001"/>
    <s v="Ywar Gyi (South) Ward"/>
    <s v="MMR012001701"/>
    <m/>
    <s v="MMR012001701516"/>
    <s v="Ya Tayar Monastery"/>
    <s v="MMR012CMP074"/>
    <s v="Accessible by All"/>
    <s v=" 92.893333°"/>
    <s v=" 20.146117°"/>
    <n v="0"/>
    <n v="0"/>
    <s v="Camp/Community Leader"/>
    <s v="Estimate"/>
    <s v="Collective Centre"/>
    <m/>
    <m/>
  </r>
  <r>
    <n v="276"/>
    <d v="2013-05-22T00:00:00.000"/>
    <x v="2"/>
    <x v="1"/>
    <s v="MMR012"/>
    <x v="27"/>
    <s v="MMR012001"/>
    <s v="Baung Dut Ward"/>
    <s v="MMR012001701"/>
    <m/>
    <s v="MMR012001701517"/>
    <s v="Pyin Nyar Mandine Monastery"/>
    <s v="MMR012CMP064"/>
    <s v="Accessible by All"/>
    <s v=" 92.896944°"/>
    <s v=" 20.150892°"/>
    <n v="0"/>
    <n v="0"/>
    <s v="Camp/Community Leader"/>
    <s v="Estimate"/>
    <s v="Collective Centre"/>
    <m/>
    <m/>
  </r>
  <r>
    <n v="272"/>
    <d v="2013-05-22T00:00:00.000"/>
    <x v="2"/>
    <x v="1"/>
    <s v="MMR012"/>
    <x v="27"/>
    <s v="MMR012001"/>
    <s v="Bauk Thee Su Ward"/>
    <s v="MMR012001701"/>
    <m/>
    <s v="MMR012001701518"/>
    <s v="Dama Set Kyar Monastery"/>
    <s v="MMR012CMP060"/>
    <s v="Accessible by All"/>
    <s v=" 92.898398°"/>
    <s v=" 20.152559°"/>
    <n v="0"/>
    <n v="0"/>
    <s v="Camp/Community Leader"/>
    <s v="Estimate"/>
    <s v="Collective Centre"/>
    <m/>
    <m/>
  </r>
  <r>
    <n v="275"/>
    <d v="2013-05-22T00:00:00.000"/>
    <x v="2"/>
    <x v="1"/>
    <s v="MMR012"/>
    <x v="27"/>
    <s v="MMR012001"/>
    <s v=" Bauk Thee Su Ward"/>
    <s v="MMR012001701"/>
    <m/>
    <s v="MMR012001701518"/>
    <s v="Myo Ma Monastery"/>
    <s v="MMR012CMP063"/>
    <s v="Accessible by All"/>
    <s v=" 92.897783°"/>
    <s v=" 20.151050°"/>
    <n v="0"/>
    <n v="0"/>
    <s v="Camp/Community Leader"/>
    <s v="Estimate"/>
    <s v="Collective Centre"/>
    <m/>
    <m/>
  </r>
  <r>
    <n v="271"/>
    <d v="2013-05-22T00:00:00.000"/>
    <x v="2"/>
    <x v="1"/>
    <s v="MMR012"/>
    <x v="27"/>
    <s v="MMR012001"/>
    <s v="Kyaung Tet Lan Ward"/>
    <s v="MMR012001701"/>
    <m/>
    <s v="MMR012001701519"/>
    <s v="Dak Kaung Monastery"/>
    <s v="MMR012CMP059"/>
    <s v="Accessible by All"/>
    <s v=" 92.894568°"/>
    <s v=" 20.145585°"/>
    <n v="0"/>
    <n v="0"/>
    <s v="Camp/Community Leader"/>
    <s v="Estimate"/>
    <s v="Collective Centre"/>
    <m/>
    <m/>
  </r>
  <r>
    <n v="285"/>
    <d v="2013-05-22T00:00:00.000"/>
    <x v="2"/>
    <x v="1"/>
    <s v="MMR012"/>
    <x v="27"/>
    <s v="MMR012001"/>
    <s v="Kyaung Tet Lan Ward"/>
    <s v="MMR012001701"/>
    <m/>
    <s v="MMR012001701519"/>
    <s v="Gyit Bak Monastery"/>
    <s v="MMR012CMP073"/>
    <s v="Accessible by All"/>
    <s v=" 92.895600°"/>
    <s v=" 20.146917°"/>
    <n v="0"/>
    <n v="0"/>
    <s v="Camp/Community Leader"/>
    <s v="Estimate"/>
    <s v="Collective Centre"/>
    <m/>
    <m/>
  </r>
  <r>
    <n v="278"/>
    <d v="2013-05-22T00:00:00.000"/>
    <x v="2"/>
    <x v="1"/>
    <s v="MMR012"/>
    <x v="27"/>
    <s v="MMR012001"/>
    <s v="Pyi Taw Thar Ward"/>
    <s v="MMR012001701"/>
    <m/>
    <s v="MMR012001701520"/>
    <s v="Su Taung Pyae Monastery"/>
    <s v="MMR012CMP066"/>
    <s v="Accessible by All"/>
    <s v=" 92.888950°"/>
    <s v=" 20.125033°"/>
    <n v="0"/>
    <n v="0"/>
    <s v="Camp/Community Leader"/>
    <s v="Estimate"/>
    <s v="Collective Centre"/>
    <m/>
    <m/>
  </r>
  <r>
    <n v="265"/>
    <d v="2013-05-22T00:00:00.000"/>
    <x v="0"/>
    <x v="1"/>
    <s v="MMR012"/>
    <x v="27"/>
    <s v="MMR012001"/>
    <s v="Ye New Su Ward"/>
    <s v="MMR012001701"/>
    <m/>
    <s v="MMR012001701523"/>
    <s v="Ma Gyi Myaing"/>
    <s v="MMR012CMP053"/>
    <s v="Accessible by All"/>
    <s v=" 92.886890°"/>
    <s v=" 20.132695°"/>
    <n v="120"/>
    <n v="572"/>
    <n v="4.766666666666667"/>
    <s v="Camp/Community Leader"/>
    <s v="Estimate"/>
    <s v="Planned Camp"/>
    <m/>
  </r>
  <r>
    <n v="268"/>
    <d v="2013-05-22T00:00:00.000"/>
    <x v="0"/>
    <x v="1"/>
    <s v="MMR012"/>
    <x v="27"/>
    <s v="MMR012001"/>
    <s v="Set Yon Su Ward"/>
    <s v="MMR012001701"/>
    <m/>
    <s v="MMR012001701526"/>
    <s v="Set Yone Su"/>
    <s v="MMR012CMP056"/>
    <s v="Accessible by All"/>
    <s v=" 92.880320°"/>
    <s v=" 20.148584°"/>
    <n v="220"/>
    <n v="1172"/>
    <n v="5.327272727272727"/>
    <s v="Camp/Community Leader"/>
    <s v="Estimate"/>
    <s v="Planned Camp"/>
    <m/>
  </r>
  <r>
    <n v="306"/>
    <d v="2013-05-22T00:00:00.000"/>
    <x v="0"/>
    <x v="1"/>
    <s v="MMR012"/>
    <x v="27"/>
    <s v="MMR012001"/>
    <s v="Set Yon Su Ward"/>
    <s v="MMR012001701"/>
    <m/>
    <s v="MMR012001701526"/>
    <s v="Set Yone Su 3"/>
    <s v="MMR012CMP093"/>
    <s v="Accessible by All"/>
    <s v=" 92.879139°"/>
    <s v="20.155806°"/>
    <n v="158"/>
    <n v="579"/>
    <n v="3.6645569620253164"/>
    <s v="Camp/Community Leader"/>
    <s v="Estimate"/>
    <s v="Planned Camp"/>
    <m/>
  </r>
  <r>
    <n v="267"/>
    <d v="2013-05-22T00:00:00.000"/>
    <x v="0"/>
    <x v="1"/>
    <s v="MMR012"/>
    <x v="27"/>
    <s v="MMR012001"/>
    <s v="Baw Lone Kwin Ward"/>
    <s v="MMR012001701"/>
    <m/>
    <s v="MMR012001701528"/>
    <s v="Danyawaddy Baw Lone Kwin"/>
    <s v="MMR012CMP055"/>
    <s v="Accessible by All"/>
    <s v=" 92.889384°"/>
    <s v=" 20.135474°"/>
    <n v="70"/>
    <n v="305"/>
    <n v="4.357142857142857"/>
    <s v="Camp/Community Leader"/>
    <s v="Estimate"/>
    <s v="Planned Camp"/>
    <m/>
  </r>
  <r>
    <n v="266"/>
    <d v="2013-05-22T00:00:00.000"/>
    <x v="0"/>
    <x v="1"/>
    <s v="MMR012"/>
    <x v="27"/>
    <s v="MMR012001"/>
    <s v="Min Gan Ward"/>
    <s v="MMR012001701"/>
    <m/>
    <s v="MMR012001701532"/>
    <s v="Mingan"/>
    <s v="MMR012CMP054"/>
    <s v="Accessible by All"/>
    <s v=" 92.860599°"/>
    <s v=" 20.154343°"/>
    <n v="80"/>
    <n v="353"/>
    <n v="4.4125"/>
    <s v="Camp/Community Leader"/>
    <s v="Estimate"/>
    <s v="Planned Camp"/>
    <m/>
  </r>
  <r>
    <n v="251"/>
    <d v="2013-05-22T00:00:00.000"/>
    <x v="0"/>
    <x v="1"/>
    <s v="MMR012"/>
    <x v="27"/>
    <s v="MMR012001"/>
    <s v="San Pya Ward"/>
    <s v="MMR012002701"/>
    <m/>
    <s v="MMR012002701501"/>
    <s v="Basare"/>
    <s v="MMR012CMP039"/>
    <s v="Accessible by All"/>
    <s v=" 92.875814°"/>
    <s v=" 20.128489°"/>
    <n v="395"/>
    <n v="1790"/>
    <n v="4.531645569620253"/>
    <s v="Camp/Community Leader"/>
    <s v="Estimate"/>
    <s v="Planned Camp"/>
    <m/>
  </r>
</pivotCacheRecord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0.xml><?xml version="1.0" encoding="utf-8"?>
<pivotTableDefinition xmlns="http://schemas.openxmlformats.org/spreadsheetml/2006/main" name="Pivot_CampList" cacheId="181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4" updatedVersion="4" indent="0" multipleFieldFilters="0" showMemberPropertyTips="1">
  <location ref="A6:D21" firstHeaderRow="0" firstDataRow="1" firstDataCol="1" rowPageCount="1" colPageCount="1"/>
  <pivotFields count="23">
    <pivotField subtotalTop="0" showAll="0"/>
    <pivotField showAll="0" defaultSubtotal="0"/>
    <pivotField axis="axisRow" showAll="0" multipleItemSelectionAllowed="1">
      <items count="5">
        <item x="2"/>
        <item x="0"/>
        <item m="1" x="3"/>
        <item x="1"/>
        <item t="default"/>
      </items>
    </pivotField>
    <pivotField axis="axisPage" subtotalTop="0" showAll="0" multipleItemSelectionAllowed="1">
      <items count="3">
        <item h="1" x="0"/>
        <item x="1"/>
        <item t="default"/>
      </items>
    </pivotField>
    <pivotField showAll="0" defaultSubtotal="0"/>
    <pivotField axis="axisRow" subtotalTop="0" showAll="0">
      <items count="31">
        <item x="0"/>
        <item m="1" x="28"/>
        <item x="1"/>
        <item x="2"/>
        <item x="3"/>
        <item x="4"/>
        <item x="5"/>
        <item x="18"/>
        <item x="19"/>
        <item x="6"/>
        <item x="7"/>
        <item x="20"/>
        <item x="21"/>
        <item x="22"/>
        <item x="8"/>
        <item x="9"/>
        <item x="10"/>
        <item m="1" x="29"/>
        <item x="23"/>
        <item x="11"/>
        <item x="12"/>
        <item x="13"/>
        <item x="14"/>
        <item x="24"/>
        <item x="15"/>
        <item x="25"/>
        <item x="26"/>
        <item x="16"/>
        <item x="27"/>
        <item x="17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ubtotalTop="0" showAll="0"/>
    <pivotField subtotalTop="0" showAll="0"/>
    <pivotField showAll="0" defaultSubtotal="0"/>
    <pivotField subtotalTop="0" showAll="0"/>
    <pivotField subtotalTop="0" showAll="0"/>
    <pivotField dataField="1" subtotalTop="0" showAll="0"/>
    <pivotField dataField="1" subtotalTop="0" showAll="0"/>
    <pivotField showAll="0" defaultSubtotal="0"/>
    <pivotField showAll="0" defaultSubtotal="0"/>
    <pivotField showAll="0" defaultSubtotal="0"/>
    <pivotField subtotalTop="0" showAll="0"/>
    <pivotField showAll="0" defaultSubtotal="0"/>
  </pivotFields>
  <rowFields count="2">
    <field x="2"/>
    <field x="5"/>
  </rowFields>
  <rowItems count="15">
    <i>
      <x/>
    </i>
    <i r="1">
      <x v="11"/>
    </i>
    <i r="1">
      <x v="28"/>
    </i>
    <i>
      <x v="1"/>
    </i>
    <i r="1">
      <x v="7"/>
    </i>
    <i r="1">
      <x v="8"/>
    </i>
    <i r="1">
      <x v="11"/>
    </i>
    <i r="1">
      <x v="12"/>
    </i>
    <i r="1">
      <x v="13"/>
    </i>
    <i r="1">
      <x v="18"/>
    </i>
    <i r="1">
      <x v="23"/>
    </i>
    <i r="1">
      <x v="25"/>
    </i>
    <i r="1">
      <x v="26"/>
    </i>
    <i r="1">
      <x v="28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hier="-1"/>
  </pageFields>
  <dataFields count="3">
    <dataField name="# of Camps" fld="11" subtotal="count" baseField="2" baseItem="0"/>
    <dataField name="Households" fld="16" baseField="2" baseItem="0"/>
    <dataField name="Population" fld="17" baseField="2" baseItem="0"/>
  </dataFields>
  <formats count="11">
    <format dxfId="161">
      <pivotArea outline="0" fieldPosition="0" dataOnly="0" type="all"/>
    </format>
    <format dxfId="160">
      <pivotArea outline="0" fieldPosition="0" axis="axisPage" dataOnly="0" field="3" labelOnly="1" type="button"/>
    </format>
    <format dxfId="159">
      <pivotArea outline="0" fieldPosition="0" dataOnly="0" labelOnly="1">
        <references count="1">
          <reference field="3" count="1">
            <x v="1"/>
          </reference>
        </references>
      </pivotArea>
    </format>
    <format dxfId="158">
      <pivotArea outline="0" fieldPosition="1" axis="axisRow" dataOnly="0" field="5" labelOnly="1" type="button"/>
    </format>
    <format dxfId="157">
      <pivotArea outline="0" fieldPosition="0" dataOnly="0" labelOnly="1">
        <references count="1">
          <reference field="4294967294" count="3">
            <x v="0"/>
            <x v="1"/>
            <x v="2"/>
          </reference>
        </references>
      </pivotArea>
    </format>
    <format dxfId="156">
      <pivotArea outline="0" fieldPosition="0" collapsedLevelsAreSubtotals="1" grandRow="1"/>
    </format>
    <format dxfId="155">
      <pivotArea outline="0" fieldPosition="0" dataOnly="0" grandRow="1" labelOnly="1"/>
    </format>
    <format dxfId="154">
      <pivotArea outline="0" fieldPosition="0" collapsedLevelsAreSubtotals="1"/>
    </format>
    <format dxfId="153">
      <pivotArea outline="0" fieldPosition="0" dataOnly="0" labelOnly="1">
        <references count="1">
          <reference field="2" count="0"/>
        </references>
      </pivotArea>
    </format>
    <format dxfId="152">
      <pivotArea outline="0" fieldPosition="0" dataOnly="0" grandRow="1" labelOnly="1"/>
    </format>
    <format dxfId="151">
      <pivotArea outline="0" fieldPosition="0" dataOnly="0" labelOnly="1">
        <references count="2">
          <reference field="2" count="1">
            <x v="0"/>
          </reference>
          <reference field="5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11.xml><?xml version="1.0" encoding="utf-8"?>
<pivotTableDefinition xmlns="http://schemas.openxmlformats.org/spreadsheetml/2006/main" name="PivotTable7" cacheId="181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4" updatedVersion="4" indent="0" multipleFieldFilters="0" showMemberPropertyTips="1">
  <location ref="P9:Q20" firstHeaderRow="1" firstDataRow="1" firstDataCol="1" rowPageCount="2" colPageCount="1"/>
  <pivotFields count="23">
    <pivotField subtotalTop="0" showAll="0"/>
    <pivotField showAll="0" defaultSubtotal="0"/>
    <pivotField axis="axisPage" showAll="0" multipleItemSelectionAllowed="1">
      <items count="5">
        <item h="1" x="2"/>
        <item x="0"/>
        <item h="1" m="1" x="3"/>
        <item h="1" x="1"/>
        <item t="default"/>
      </items>
    </pivotField>
    <pivotField axis="axisPage" subtotalTop="0" showAll="0" multipleItemSelectionAllowed="1">
      <items count="3">
        <item h="1" x="0"/>
        <item x="1"/>
        <item t="default"/>
      </items>
    </pivotField>
    <pivotField showAll="0" defaultSubtotal="0"/>
    <pivotField axis="axisRow" subtotalTop="0" showAll="0" sortType="descending">
      <items count="31">
        <item x="0"/>
        <item m="1" x="28"/>
        <item x="1"/>
        <item x="2"/>
        <item x="3"/>
        <item x="4"/>
        <item x="5"/>
        <item x="18"/>
        <item x="19"/>
        <item x="6"/>
        <item x="7"/>
        <item x="20"/>
        <item x="21"/>
        <item x="22"/>
        <item x="8"/>
        <item x="9"/>
        <item x="10"/>
        <item m="1" x="29"/>
        <item x="23"/>
        <item x="11"/>
        <item x="12"/>
        <item x="13"/>
        <item x="14"/>
        <item x="24"/>
        <item x="15"/>
        <item x="25"/>
        <item x="26"/>
        <item x="16"/>
        <item x="27"/>
        <item x="17"/>
        <item t="default"/>
      </items>
      <autoSortScope>
        <pivotArea outline="0" fieldPosition="0" type="normal">
          <references count="1">
            <reference field="4294967294" selected="0" count="1">
              <x v="0"/>
            </reference>
          </references>
        </pivotArea>
      </autoSortScope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ubtotalTop="0" showAll="0"/>
    <pivotField subtotalTop="0" showAll="0"/>
    <pivotField showAll="0" defaultSubtotal="0"/>
    <pivotField subtotalTop="0" showAll="0"/>
    <pivotField subtotalTop="0" showAll="0"/>
    <pivotField subtotalTop="0" showAll="0"/>
    <pivotField dataField="1" subtotalTop="0" showAll="0"/>
    <pivotField showAll="0" defaultSubtotal="0"/>
    <pivotField showAll="0" defaultSubtotal="0"/>
    <pivotField showAll="0" defaultSubtotal="0"/>
    <pivotField subtotalTop="0" showAll="0"/>
    <pivotField showAll="0" defaultSubtotal="0"/>
  </pivotFields>
  <rowFields count="1">
    <field x="5"/>
  </rowFields>
  <rowItems count="11">
    <i>
      <x v="28"/>
    </i>
    <i>
      <x v="23"/>
    </i>
    <i>
      <x v="8"/>
    </i>
    <i>
      <x v="13"/>
    </i>
    <i>
      <x v="12"/>
    </i>
    <i>
      <x v="18"/>
    </i>
    <i>
      <x v="26"/>
    </i>
    <i>
      <x v="11"/>
    </i>
    <i>
      <x v="7"/>
    </i>
    <i>
      <x v="25"/>
    </i>
    <i t="grand">
      <x/>
    </i>
  </rowItems>
  <colItems count="1">
    <i/>
  </colItems>
  <pageFields count="2">
    <pageField fld="3" hier="-1"/>
    <pageField fld="2" hier="-1"/>
  </pageFields>
  <dataFields count="1">
    <dataField name="Population" fld="17" baseField="5" baseItem="22"/>
  </dataFields>
  <formats count="7">
    <format dxfId="168">
      <pivotArea outline="0" fieldPosition="0" dataOnly="0" type="all"/>
    </format>
    <format dxfId="167">
      <pivotArea outline="0" fieldPosition="0" axis="axisPage" dataOnly="0" field="3" labelOnly="1" type="button"/>
    </format>
    <format dxfId="166">
      <pivotArea outline="0" fieldPosition="0" dataOnly="0" labelOnly="1">
        <references count="1">
          <reference field="3" count="1">
            <x v="1"/>
          </reference>
        </references>
      </pivotArea>
    </format>
    <format dxfId="165">
      <pivotArea outline="0" fieldPosition="0" axis="axisRow" dataOnly="0" field="5" labelOnly="1" type="button"/>
    </format>
    <format dxfId="164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63">
      <pivotArea outline="0" fieldPosition="0" collapsedLevelsAreSubtotals="1" grandRow="1"/>
    </format>
    <format dxfId="162">
      <pivotArea outline="0" fieldPosition="0" dataOnly="0" grandRow="1" labelOnly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12.xml><?xml version="1.0" encoding="utf-8"?>
<pivotTableDefinition xmlns="http://schemas.openxmlformats.org/spreadsheetml/2006/main" name="PivotTable2" cacheId="181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4" updatedVersion="4" indent="0" multipleFieldFilters="0" showMemberPropertyTips="1">
  <location ref="P28:Q47" firstHeaderRow="1" firstDataRow="1" firstDataCol="1" rowPageCount="1" colPageCount="1"/>
  <pivotFields count="23">
    <pivotField subtotalTop="0" showAll="0"/>
    <pivotField showAll="0" defaultSubtotal="0"/>
    <pivotField showAll="0" multipleItemSelectionAllowed="1"/>
    <pivotField axis="axisPage" subtotalTop="0" showAll="0" multipleItemSelectionAllowed="1">
      <items count="3">
        <item x="0"/>
        <item h="1" x="1"/>
        <item t="default"/>
      </items>
    </pivotField>
    <pivotField showAll="0" defaultSubtotal="0"/>
    <pivotField axis="axisRow" subtotalTop="0" showAll="0" sortType="descending">
      <items count="31">
        <item x="0"/>
        <item m="1" x="28"/>
        <item x="1"/>
        <item x="2"/>
        <item x="3"/>
        <item x="4"/>
        <item x="5"/>
        <item x="18"/>
        <item x="19"/>
        <item x="6"/>
        <item x="7"/>
        <item x="20"/>
        <item x="21"/>
        <item x="22"/>
        <item x="8"/>
        <item x="9"/>
        <item x="10"/>
        <item m="1" x="29"/>
        <item x="23"/>
        <item x="11"/>
        <item x="12"/>
        <item x="13"/>
        <item x="14"/>
        <item x="24"/>
        <item x="15"/>
        <item x="25"/>
        <item x="26"/>
        <item x="16"/>
        <item x="27"/>
        <item x="17"/>
        <item t="default"/>
      </items>
      <autoSortScope>
        <pivotArea outline="0" fieldPosition="0" type="normal">
          <references count="1">
            <reference field="4294967294" selected="0" count="1">
              <x v="0"/>
            </reference>
          </references>
        </pivotArea>
      </autoSortScope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ubtotalTop="0" showAll="0"/>
    <pivotField subtotalTop="0" showAll="0"/>
    <pivotField showAll="0" defaultSubtotal="0"/>
    <pivotField subtotalTop="0" showAll="0"/>
    <pivotField subtotalTop="0" showAll="0"/>
    <pivotField subtotalTop="0" showAll="0"/>
    <pivotField dataField="1" subtotalTop="0" showAll="0"/>
    <pivotField showAll="0" defaultSubtotal="0"/>
    <pivotField showAll="0" defaultSubtotal="0"/>
    <pivotField showAll="0" defaultSubtotal="0"/>
    <pivotField subtotalTop="0" showAll="0"/>
    <pivotField showAll="0" defaultSubtotal="0"/>
  </pivotFields>
  <rowFields count="1">
    <field x="5"/>
  </rowFields>
  <rowItems count="19">
    <i>
      <x v="29"/>
    </i>
    <i>
      <x v="16"/>
    </i>
    <i>
      <x v="9"/>
    </i>
    <i>
      <x v="20"/>
    </i>
    <i>
      <x v="3"/>
    </i>
    <i>
      <x/>
    </i>
    <i>
      <x v="27"/>
    </i>
    <i>
      <x v="21"/>
    </i>
    <i>
      <x v="19"/>
    </i>
    <i>
      <x v="2"/>
    </i>
    <i>
      <x v="6"/>
    </i>
    <i>
      <x v="10"/>
    </i>
    <i>
      <x v="14"/>
    </i>
    <i>
      <x v="15"/>
    </i>
    <i>
      <x v="5"/>
    </i>
    <i>
      <x v="22"/>
    </i>
    <i>
      <x v="4"/>
    </i>
    <i>
      <x v="24"/>
    </i>
    <i t="grand">
      <x/>
    </i>
  </rowItems>
  <colItems count="1">
    <i/>
  </colItems>
  <pageFields count="1">
    <pageField fld="3" hier="-1"/>
  </pageFields>
  <dataFields count="1">
    <dataField name="Population" fld="17" baseField="5" baseItem="22"/>
  </dataFields>
  <formats count="7">
    <format dxfId="175">
      <pivotArea outline="0" fieldPosition="0" dataOnly="0" type="all"/>
    </format>
    <format dxfId="174">
      <pivotArea outline="0" fieldPosition="0" axis="axisPage" dataOnly="0" field="3" labelOnly="1" type="button"/>
    </format>
    <format dxfId="173">
      <pivotArea outline="0" fieldPosition="0" dataOnly="0" labelOnly="1">
        <references count="1">
          <reference field="3" count="1">
            <x v="1"/>
          </reference>
        </references>
      </pivotArea>
    </format>
    <format dxfId="172">
      <pivotArea outline="0" fieldPosition="0" axis="axisRow" dataOnly="0" field="5" labelOnly="1" type="button"/>
    </format>
    <format dxfId="171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70">
      <pivotArea outline="0" fieldPosition="0" collapsedLevelsAreSubtotals="1" grandRow="1"/>
    </format>
    <format dxfId="169">
      <pivotArea outline="0" fieldPosition="0" dataOnly="0" grandRow="1" labelOnly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13.xml><?xml version="1.0" encoding="utf-8"?>
<pivotTableDefinition xmlns="http://schemas.openxmlformats.org/spreadsheetml/2006/main" name="PivotTable1" cacheId="181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4" updatedVersion="4" indent="0" multipleFieldFilters="0" showMemberPropertyTips="1">
  <location ref="A26:D49" firstHeaderRow="0" firstDataRow="1" firstDataCol="1" rowPageCount="1" colPageCount="1"/>
  <pivotFields count="23">
    <pivotField subtotalTop="0" showAll="0"/>
    <pivotField showAll="0" defaultSubtotal="0"/>
    <pivotField axis="axisRow" showAll="0" multipleItemSelectionAllowed="1">
      <items count="5">
        <item x="2"/>
        <item x="0"/>
        <item m="1" x="3"/>
        <item x="1"/>
        <item t="default"/>
      </items>
    </pivotField>
    <pivotField axis="axisPage" subtotalTop="0" showAll="0" multipleItemSelectionAllowed="1">
      <items count="3">
        <item x="0"/>
        <item h="1" x="1"/>
        <item t="default"/>
      </items>
    </pivotField>
    <pivotField showAll="0" defaultSubtotal="0"/>
    <pivotField axis="axisRow" subtotalTop="0" showAll="0">
      <items count="31">
        <item x="0"/>
        <item m="1" x="28"/>
        <item x="1"/>
        <item x="2"/>
        <item x="3"/>
        <item x="4"/>
        <item x="5"/>
        <item x="18"/>
        <item x="19"/>
        <item x="6"/>
        <item x="7"/>
        <item x="20"/>
        <item x="21"/>
        <item x="22"/>
        <item x="8"/>
        <item x="9"/>
        <item x="10"/>
        <item m="1" x="29"/>
        <item x="23"/>
        <item x="11"/>
        <item x="12"/>
        <item x="13"/>
        <item x="14"/>
        <item x="24"/>
        <item x="15"/>
        <item x="25"/>
        <item x="26"/>
        <item x="16"/>
        <item x="27"/>
        <item x="17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ubtotalTop="0" showAll="0"/>
    <pivotField subtotalTop="0" showAll="0"/>
    <pivotField showAll="0" defaultSubtotal="0"/>
    <pivotField subtotalTop="0" showAll="0"/>
    <pivotField subtotalTop="0" showAll="0"/>
    <pivotField dataField="1" subtotalTop="0" showAll="0"/>
    <pivotField dataField="1" subtotalTop="0" showAll="0"/>
    <pivotField showAll="0" defaultSubtotal="0"/>
    <pivotField showAll="0" defaultSubtotal="0"/>
    <pivotField showAll="0" defaultSubtotal="0"/>
    <pivotField subtotalTop="0" showAll="0"/>
    <pivotField showAll="0" defaultSubtotal="0"/>
  </pivotFields>
  <rowFields count="2">
    <field x="2"/>
    <field x="5"/>
  </rowFields>
  <rowItems count="23">
    <i>
      <x v="1"/>
    </i>
    <i r="1">
      <x/>
    </i>
    <i r="1">
      <x v="2"/>
    </i>
    <i r="1">
      <x v="3"/>
    </i>
    <i r="1">
      <x v="4"/>
    </i>
    <i r="1">
      <x v="5"/>
    </i>
    <i r="1">
      <x v="6"/>
    </i>
    <i r="1">
      <x v="9"/>
    </i>
    <i r="1">
      <x v="10"/>
    </i>
    <i r="1">
      <x v="14"/>
    </i>
    <i r="1">
      <x v="15"/>
    </i>
    <i r="1">
      <x v="16"/>
    </i>
    <i r="1">
      <x v="19"/>
    </i>
    <i r="1">
      <x v="20"/>
    </i>
    <i r="1">
      <x v="21"/>
    </i>
    <i r="1">
      <x v="22"/>
    </i>
    <i r="1">
      <x v="24"/>
    </i>
    <i r="1">
      <x v="27"/>
    </i>
    <i r="1">
      <x v="29"/>
    </i>
    <i>
      <x v="3"/>
    </i>
    <i r="1">
      <x v="3"/>
    </i>
    <i r="1">
      <x v="2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hier="-1"/>
  </pageFields>
  <dataFields count="3">
    <dataField name="# of Camps" fld="11" subtotal="count" baseField="2" baseItem="0"/>
    <dataField name="Households" fld="16" baseField="2" baseItem="0"/>
    <dataField name="Population" fld="17" baseField="2" baseItem="0"/>
  </dataFields>
  <formats count="11">
    <format dxfId="186">
      <pivotArea outline="0" fieldPosition="0" dataOnly="0" type="all"/>
    </format>
    <format dxfId="185">
      <pivotArea outline="0" fieldPosition="0" axis="axisPage" dataOnly="0" field="3" labelOnly="1" type="button"/>
    </format>
    <format dxfId="184">
      <pivotArea outline="0" fieldPosition="0" dataOnly="0" labelOnly="1">
        <references count="1">
          <reference field="3" count="1">
            <x v="1"/>
          </reference>
        </references>
      </pivotArea>
    </format>
    <format dxfId="183">
      <pivotArea outline="0" fieldPosition="1" axis="axisRow" dataOnly="0" field="5" labelOnly="1" type="button"/>
    </format>
    <format dxfId="182">
      <pivotArea outline="0" fieldPosition="0" dataOnly="0" labelOnly="1">
        <references count="1">
          <reference field="4294967294" count="3">
            <x v="0"/>
            <x v="1"/>
            <x v="2"/>
          </reference>
        </references>
      </pivotArea>
    </format>
    <format dxfId="181">
      <pivotArea outline="0" fieldPosition="0" collapsedLevelsAreSubtotals="1" grandRow="1"/>
    </format>
    <format dxfId="180">
      <pivotArea outline="0" fieldPosition="0" dataOnly="0" grandRow="1" labelOnly="1"/>
    </format>
    <format dxfId="179">
      <pivotArea outline="0" fieldPosition="0" collapsedLevelsAreSubtotals="1"/>
    </format>
    <format dxfId="178">
      <pivotArea outline="0" fieldPosition="0" dataOnly="0" labelOnly="1">
        <references count="1">
          <reference field="2" count="0"/>
        </references>
      </pivotArea>
    </format>
    <format dxfId="177">
      <pivotArea outline="0" fieldPosition="0" dataOnly="0" grandRow="1" labelOnly="1"/>
    </format>
    <format dxfId="176">
      <pivotArea outline="0" fieldPosition="0" dataOnly="0" labelOnly="1">
        <references count="2">
          <reference field="2" count="1">
            <x v="0"/>
          </reference>
          <reference field="5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14.xml><?xml version="1.0" encoding="utf-8"?>
<pivotTableDefinition xmlns="http://schemas.openxmlformats.org/spreadsheetml/2006/main" name="PivotTable3" cacheId="169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4" updatedVersion="4" indent="0" multipleFieldFilters="0" showMemberPropertyTips="1">
  <location ref="A96:C107" firstHeaderRow="0" firstDataRow="1" firstDataCol="1" rowPageCount="1" colPageCount="1"/>
  <pivotFields count="16">
    <pivotField showAll="0" defaultSubtotal="0"/>
    <pivotField axis="axisRow" showAll="0">
      <items count="12">
        <item x="3"/>
        <item x="1"/>
        <item x="2"/>
        <item x="9"/>
        <item x="5"/>
        <item x="7"/>
        <item x="8"/>
        <item x="4"/>
        <item x="0"/>
        <item x="6"/>
        <item x="10"/>
        <item t="default"/>
      </items>
    </pivotField>
    <pivotField showAll="0" defaultSubtotal="0"/>
    <pivotField axis="axisPage" showAll="0" multipleItemSelectionAllowed="1">
      <items count="4">
        <item x="0"/>
        <item x="1"/>
        <item h="1" x="2"/>
        <item t="default"/>
      </items>
    </pivotField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2">
    <i>
      <x/>
    </i>
    <i i="1">
      <x v="1"/>
    </i>
  </colItems>
  <pageFields count="1">
    <pageField fld="3" hier="-1"/>
  </pageFields>
  <dataFields count="2">
    <dataField name="Sum of #ofTemporaryShelterBuilt" fld="10" baseField="1" baseItem="2"/>
    <dataField name="Sum of #ofTemporaryShelterUnderConstruction" fld="11" baseField="1" baseItem="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15.xml><?xml version="1.0" encoding="utf-8"?>
<pivotTableDefinition xmlns="http://schemas.openxmlformats.org/spreadsheetml/2006/main" name="PivotTable5" cacheId="169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4" updatedVersion="4" indent="0" multipleFieldFilters="0" showMemberPropertyTips="1">
  <location ref="H96:I99" firstHeaderRow="1" firstDataRow="1" firstDataCol="1" rowPageCount="1" colPageCount="1"/>
  <pivotFields count="16">
    <pivotField showAll="0" defaultSubtotal="0"/>
    <pivotField axis="axisRow" showAll="0">
      <items count="12">
        <item x="3"/>
        <item x="1"/>
        <item x="2"/>
        <item x="9"/>
        <item x="5"/>
        <item x="7"/>
        <item x="8"/>
        <item x="4"/>
        <item x="0"/>
        <item x="6"/>
        <item x="10"/>
        <item t="default"/>
      </items>
    </pivotField>
    <pivotField showAll="0" defaultSubtotal="0"/>
    <pivotField axis="axisPage" showAll="0" multipleItemSelectionAllowed="1">
      <items count="4">
        <item x="0"/>
        <item h="1" x="1"/>
        <item h="1" x="2"/>
        <item t="default"/>
      </items>
    </pivotField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</pivotFields>
  <rowFields count="1">
    <field x="1"/>
  </rowFields>
  <rowItems count="3">
    <i>
      <x v="1"/>
    </i>
    <i>
      <x v="8"/>
    </i>
    <i t="grand">
      <x/>
    </i>
  </rowItems>
  <colItems count="1">
    <i/>
  </colItems>
  <pageFields count="1">
    <pageField fld="3" hier="-1"/>
  </pageFields>
  <dataFields count="1">
    <dataField name="Sum of #ofPermanentHouseBuilt" fld="13" baseField="1" baseItem="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16.xml><?xml version="1.0" encoding="utf-8"?>
<pivotTableDefinition xmlns="http://schemas.openxmlformats.org/spreadsheetml/2006/main" name="PivotTable3" cacheId="169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4" updatedVersion="4" indent="0" multipleFieldFilters="0" showMemberPropertyTips="1">
  <location ref="A48:E51" firstHeaderRow="0" firstDataRow="1" firstDataCol="1" rowPageCount="1" colPageCount="1"/>
  <pivotFields count="16">
    <pivotField showAll="0" defaultSubtotal="0"/>
    <pivotField axis="axisRow" showAll="0" sortType="ascending">
      <items count="12">
        <item x="3"/>
        <item x="1"/>
        <item x="2"/>
        <item x="9"/>
        <item x="5"/>
        <item x="7"/>
        <item x="8"/>
        <item x="4"/>
        <item x="0"/>
        <item x="6"/>
        <item x="10"/>
        <item t="default"/>
      </items>
    </pivotField>
    <pivotField showAll="0" defaultSubtotal="0"/>
    <pivotField axis="axisPage" showAll="0" multipleItemSelectionAllowed="1">
      <items count="4">
        <item h="1" x="1"/>
        <item x="0"/>
        <item h="1" x="2"/>
        <item t="default"/>
      </items>
    </pivotField>
    <pivotField showAll="0" sortType="ascending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dataField="1" showAll="0" defaultSubtotal="0"/>
    <pivotField showAll="0" defaultSubtotal="0"/>
    <pivotField dataField="1" showAll="0" defaultSubtotal="0"/>
    <pivotField dataField="1" showAll="0" defaultSubtotal="0"/>
    <pivotField showAll="0" defaultSubtotal="0"/>
  </pivotFields>
  <rowFields count="1">
    <field x="1"/>
  </rowFields>
  <rowItems count="3">
    <i>
      <x v="1"/>
    </i>
    <i>
      <x v="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3" hier="-1"/>
  </pageFields>
  <dataFields count="4">
    <dataField name="Temporary Shelter Built" fld="10" baseField="1" baseItem="0"/>
    <dataField name="Temporary Shelter Under Construction" fld="11" baseField="1" baseItem="0"/>
    <dataField name="Permanent House Built" fld="13" baseField="1" baseItem="0"/>
    <dataField name="Permanent House Under Construction" fld="14" baseField="1" baseItem="0"/>
  </dataFields>
  <formats count="5">
    <format dxfId="141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140">
      <pivotArea outline="0" fieldPosition="0" dataOnly="0" field="4" labelOnly="1" type="button"/>
    </format>
    <format dxfId="139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138">
      <pivotArea outline="0" fieldPosition="0" dataOnly="0" field="4" labelOnly="1" type="button"/>
    </format>
    <format dxfId="13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17.xml><?xml version="1.0" encoding="utf-8"?>
<pivotTableDefinition xmlns="http://schemas.openxmlformats.org/spreadsheetml/2006/main" name="PivotTable1" cacheId="169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4" updatedVersion="4" indent="0" multipleFieldFilters="0" showMemberPropertyTips="1">
  <location ref="A7:E18" firstHeaderRow="0" firstDataRow="1" firstDataCol="1" rowPageCount="1" colPageCount="1"/>
  <pivotFields count="16">
    <pivotField showAll="0" defaultSubtotal="0"/>
    <pivotField axis="axisRow" showAll="0" sortType="ascending">
      <items count="12">
        <item x="3"/>
        <item x="1"/>
        <item x="2"/>
        <item x="9"/>
        <item x="5"/>
        <item x="7"/>
        <item x="8"/>
        <item x="4"/>
        <item x="0"/>
        <item x="6"/>
        <item x="10"/>
        <item t="default"/>
      </items>
    </pivotField>
    <pivotField showAll="0" defaultSubtotal="0"/>
    <pivotField axis="axisPage" showAll="0" multipleItemSelectionAllowed="1">
      <items count="4">
        <item x="1"/>
        <item h="1" x="0"/>
        <item h="1" x="2"/>
        <item t="default"/>
      </items>
    </pivotField>
    <pivotField showAll="0" sortType="ascending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dataField="1" showAll="0" defaultSubtotal="0"/>
    <pivotField showAll="0" defaultSubtotal="0"/>
    <pivotField dataField="1" showAll="0" defaultSubtotal="0"/>
    <pivotField dataField="1" showAll="0" defaultSubtotal="0"/>
    <pivotField showAll="0" defaultSubtota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3" hier="-1"/>
  </pageFields>
  <dataFields count="4">
    <dataField name="Temporary Shelter Built" fld="10" baseField="1" baseItem="0"/>
    <dataField name="Temporary Shelter Under Construction" fld="11" baseField="1" baseItem="0"/>
    <dataField name="Permanent House Built" fld="13" baseField="1" baseItem="0"/>
    <dataField name="Permanent House Under Construction" fld="14" baseField="1" baseItem="0"/>
  </dataFields>
  <formats count="5">
    <format dxfId="146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145">
      <pivotArea outline="0" fieldPosition="0" dataOnly="0" field="4" labelOnly="1" type="button"/>
    </format>
    <format dxfId="144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143">
      <pivotArea outline="0" fieldPosition="0" dataOnly="0" field="4" labelOnly="1" type="button"/>
    </format>
    <format dxfId="142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18.xml><?xml version="1.0" encoding="utf-8"?>
<pivotTableDefinition xmlns="http://schemas.openxmlformats.org/spreadsheetml/2006/main" name="PivotTable1" cacheId="176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4" updatedVersion="4" indent="0" multipleFieldFilters="0" showMemberPropertyTips="1">
  <location ref="A7:I41" firstHeaderRow="0" firstDataRow="1" firstDataCol="1"/>
  <pivotFields count="22">
    <pivotField showAll="0"/>
    <pivotField axis="axisRow" showAll="0">
      <items count="11">
        <item sd="0" x="4"/>
        <item sd="0" x="3"/>
        <item sd="0" x="1"/>
        <item x="0"/>
        <item sd="0" x="2"/>
        <item x="5"/>
        <item x="6"/>
        <item x="7"/>
        <item x="8"/>
        <item x="9"/>
        <item t="default"/>
      </items>
    </pivotField>
    <pivotField showAll="0"/>
    <pivotField axis="axisRow" showAll="0" multipleItemSelectionAllowed="1">
      <items count="4">
        <item x="1"/>
        <item m="1" x="2"/>
        <item x="0"/>
        <item t="default"/>
      </items>
    </pivotField>
    <pivotField axis="axisRow" showAll="0">
      <items count="16">
        <item x="0"/>
        <item x="1"/>
        <item x="2"/>
        <item x="13"/>
        <item x="11"/>
        <item x="10"/>
        <item x="12"/>
        <item x="7"/>
        <item x="3"/>
        <item x="5"/>
        <item x="8"/>
        <item x="14"/>
        <item x="9"/>
        <item x="6"/>
        <item x="4"/>
        <item t="default"/>
      </items>
    </pivotField>
    <pivotField showAll="0"/>
    <pivotField dataField="1" showAll="0" defaultSubtotal="0"/>
    <pivotField dataField="1" showAll="0" name="NFI Core Kit2" defaultSubtotal="0"/>
    <pivotField dataField="1" showAll="0" defaultSubtotal="0"/>
    <pivotField dataField="1" showAll="0" defaultSubtotal="0"/>
    <pivotField dataField="1" showAll="0" name="Tarpaulin2" defaultSubtotal="0"/>
    <pivotField dataField="1" showAll="0" name="Blanket2" defaultSubtotal="0"/>
    <pivotField dataField="1" showAll="0" name="Kitchen Set2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3">
    <field x="3"/>
    <field x="1"/>
    <field x="4"/>
  </rowFields>
  <rowItems count="34">
    <i>
      <x/>
    </i>
    <i r="1">
      <x/>
    </i>
    <i r="1">
      <x v="1"/>
    </i>
    <i r="1">
      <x v="2"/>
    </i>
    <i r="1">
      <x v="3"/>
    </i>
    <i r="2">
      <x v="4"/>
    </i>
    <i r="2">
      <x v="5"/>
    </i>
    <i r="2">
      <x v="6"/>
    </i>
    <i r="2">
      <x v="7"/>
    </i>
    <i r="2">
      <x v="9"/>
    </i>
    <i r="2">
      <x v="10"/>
    </i>
    <i r="2">
      <x v="12"/>
    </i>
    <i r="2">
      <x v="13"/>
    </i>
    <i r="1">
      <x v="4"/>
    </i>
    <i r="1">
      <x v="5"/>
    </i>
    <i r="2">
      <x v="10"/>
    </i>
    <i r="2">
      <x v="13"/>
    </i>
    <i r="1">
      <x v="6"/>
    </i>
    <i r="2">
      <x v="4"/>
    </i>
    <i r="1">
      <x v="7"/>
    </i>
    <i r="2">
      <x v="7"/>
    </i>
    <i r="2">
      <x v="13"/>
    </i>
    <i r="1">
      <x v="8"/>
    </i>
    <i r="2">
      <x v="13"/>
    </i>
    <i r="1">
      <x v="9"/>
    </i>
    <i r="2">
      <x v="13"/>
    </i>
    <i>
      <x v="2"/>
    </i>
    <i r="1">
      <x v="3"/>
    </i>
    <i r="2">
      <x/>
    </i>
    <i r="2">
      <x v="1"/>
    </i>
    <i r="2">
      <x v="2"/>
    </i>
    <i r="2">
      <x v="8"/>
    </i>
    <i r="2">
      <x v="14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Hygiene Kit " fld="6" baseField="3" baseItem="0"/>
    <dataField name="NFI Core Kit " fld="7" baseField="3" baseItem="0"/>
    <dataField name=" Sanitary Kit " fld="8" baseField="3" baseItem="0"/>
    <dataField name="Mosquitoe net " fld="9" baseField="3" baseItem="0"/>
    <dataField name="Tarpaulin " fld="10" baseField="3" baseItem="0"/>
    <dataField name=" Blanket " fld="11" baseField="3" baseItem="0"/>
    <dataField name=" Kitchen Set " fld="12" baseField="3" baseItem="0"/>
    <dataField name="Complementary_x000a_ Kit " fld="13" baseField="3" baseItem="0"/>
  </dataFields>
  <formats count="32">
    <format dxfId="112">
      <pivotArea outline="0" fieldPosition="0" collapsedLevelsAreSubtotals="1">
        <references count="1">
          <reference field="4" count="1">
            <x v="3"/>
          </reference>
        </references>
      </pivotArea>
    </format>
    <format dxfId="111">
      <pivotArea outline="0" fieldPosition="0" dataOnly="0" labelOnly="1">
        <references count="1">
          <reference field="4" count="1">
            <x v="3"/>
          </reference>
        </references>
      </pivotArea>
    </format>
    <format dxfId="110">
      <pivotArea outline="0" fieldPosition="0" collapsedLevelsAreSubtotals="1">
        <references count="1">
          <reference field="4" count="1">
            <x v="4"/>
          </reference>
        </references>
      </pivotArea>
    </format>
    <format dxfId="109">
      <pivotArea outline="0" fieldPosition="0" dataOnly="0" labelOnly="1">
        <references count="1">
          <reference field="4" count="1">
            <x v="4"/>
          </reference>
        </references>
      </pivotArea>
    </format>
    <format dxfId="108">
      <pivotArea outline="0" fieldPosition="0" collapsedLevelsAreSubtotals="1">
        <references count="1">
          <reference field="4" count="1">
            <x v="5"/>
          </reference>
        </references>
      </pivotArea>
    </format>
    <format dxfId="107">
      <pivotArea outline="0" fieldPosition="0" dataOnly="0" labelOnly="1">
        <references count="1">
          <reference field="4" count="1">
            <x v="5"/>
          </reference>
        </references>
      </pivotArea>
    </format>
    <format dxfId="106">
      <pivotArea outline="0" fieldPosition="0" collapsedLevelsAreSubtotals="1">
        <references count="1">
          <reference field="4" count="1">
            <x v="6"/>
          </reference>
        </references>
      </pivotArea>
    </format>
    <format dxfId="105">
      <pivotArea outline="0" fieldPosition="0" dataOnly="0" labelOnly="1">
        <references count="1">
          <reference field="4" count="1">
            <x v="6"/>
          </reference>
        </references>
      </pivotArea>
    </format>
    <format dxfId="104">
      <pivotArea outline="0" fieldPosition="0" collapsedLevelsAreSubtotals="1">
        <references count="1">
          <reference field="4" count="1">
            <x v="13"/>
          </reference>
        </references>
      </pivotArea>
    </format>
    <format dxfId="103">
      <pivotArea outline="0" fieldPosition="0" dataOnly="0" labelOnly="1">
        <references count="1">
          <reference field="4" count="1">
            <x v="13"/>
          </reference>
        </references>
      </pivotArea>
    </format>
    <format dxfId="102">
      <pivotArea outline="0" fieldPosition="0" collapsedLevelsAreSubtotals="1">
        <references count="1">
          <reference field="4" count="1">
            <x v="12"/>
          </reference>
        </references>
      </pivotArea>
    </format>
    <format dxfId="101">
      <pivotArea outline="0" fieldPosition="0" dataOnly="0" labelOnly="1">
        <references count="1">
          <reference field="4" count="1">
            <x v="12"/>
          </reference>
        </references>
      </pivotArea>
    </format>
    <format dxfId="100">
      <pivotArea outline="0" fieldPosition="0" collapsedLevelsAreSubtotals="1">
        <references count="1">
          <reference field="4" count="1">
            <x v="10"/>
          </reference>
        </references>
      </pivotArea>
    </format>
    <format dxfId="99">
      <pivotArea outline="0" fieldPosition="0" dataOnly="0" labelOnly="1">
        <references count="1">
          <reference field="4" count="1">
            <x v="10"/>
          </reference>
        </references>
      </pivotArea>
    </format>
    <format dxfId="98">
      <pivotArea outline="0" fieldPosition="0" collapsedLevelsAreSubtotals="1">
        <references count="1">
          <reference field="4" count="1">
            <x v="9"/>
          </reference>
        </references>
      </pivotArea>
    </format>
    <format dxfId="97">
      <pivotArea outline="0" fieldPosition="0" dataOnly="0" labelOnly="1">
        <references count="1">
          <reference field="4" count="1">
            <x v="9"/>
          </reference>
        </references>
      </pivotArea>
    </format>
    <format dxfId="96">
      <pivotArea outline="0" fieldPosition="0" collapsedLevelsAreSubtotals="1">
        <references count="1">
          <reference field="4" count="1">
            <x v="7"/>
          </reference>
        </references>
      </pivotArea>
    </format>
    <format dxfId="95">
      <pivotArea outline="0" fieldPosition="0" dataOnly="0" labelOnly="1">
        <references count="1">
          <reference field="4" count="1">
            <x v="7"/>
          </reference>
        </references>
      </pivotArea>
    </format>
    <format dxfId="94">
      <pivotArea outline="0" fieldPosition="0" collapsedLevelsAreSubtotals="1">
        <references count="1">
          <reference field="4" count="1">
            <x v="0"/>
          </reference>
        </references>
      </pivotArea>
    </format>
    <format dxfId="93">
      <pivotArea outline="0" fieldPosition="0" dataOnly="0" labelOnly="1">
        <references count="1">
          <reference field="4" count="1">
            <x v="0"/>
          </reference>
        </references>
      </pivotArea>
    </format>
    <format dxfId="92">
      <pivotArea outline="0" fieldPosition="0" collapsedLevelsAreSubtotals="1">
        <references count="1">
          <reference field="4" count="1">
            <x v="1"/>
          </reference>
        </references>
      </pivotArea>
    </format>
    <format dxfId="91">
      <pivotArea outline="0" fieldPosition="0" dataOnly="0" labelOnly="1">
        <references count="1">
          <reference field="4" count="1">
            <x v="1"/>
          </reference>
        </references>
      </pivotArea>
    </format>
    <format dxfId="90">
      <pivotArea outline="0" fieldPosition="0" collapsedLevelsAreSubtotals="1">
        <references count="1">
          <reference field="4" count="1">
            <x v="2"/>
          </reference>
        </references>
      </pivotArea>
    </format>
    <format dxfId="89">
      <pivotArea outline="0" fieldPosition="0" dataOnly="0" labelOnly="1">
        <references count="1">
          <reference field="4" count="1">
            <x v="2"/>
          </reference>
        </references>
      </pivotArea>
    </format>
    <format dxfId="88">
      <pivotArea outline="0" fieldPosition="0" collapsedLevelsAreSubtotals="1">
        <references count="1">
          <reference field="4" count="1">
            <x v="8"/>
          </reference>
        </references>
      </pivotArea>
    </format>
    <format dxfId="87">
      <pivotArea outline="0" fieldPosition="0" dataOnly="0" labelOnly="1">
        <references count="1">
          <reference field="4" count="1">
            <x v="8"/>
          </reference>
        </references>
      </pivotArea>
    </format>
    <format dxfId="86">
      <pivotArea outline="0" fieldPosition="0" collapsedLevelsAreSubtotals="1">
        <references count="1">
          <reference field="4" count="1">
            <x v="14"/>
          </reference>
        </references>
      </pivotArea>
    </format>
    <format dxfId="85">
      <pivotArea outline="0" fieldPosition="0" dataOnly="0" labelOnly="1">
        <references count="1">
          <reference field="4" count="1">
            <x v="14"/>
          </reference>
        </references>
      </pivotArea>
    </format>
    <format dxfId="84">
      <pivotArea outline="0" fieldPosition="0" collapsedLevelsAreSubtotals="1">
        <references count="1">
          <reference field="4" count="1">
            <x v="11"/>
          </reference>
        </references>
      </pivotArea>
    </format>
    <format dxfId="83">
      <pivotArea outline="0" fieldPosition="0" dataOnly="0" labelOnly="1">
        <references count="1">
          <reference field="4" count="1">
            <x v="11"/>
          </reference>
        </references>
      </pivotArea>
    </format>
    <format dxfId="82">
      <pivotArea outline="0" fieldPosition="0" collapsedLevelsAreSubtotals="1"/>
    </format>
    <format dxfId="81">
      <pivotArea outline="0" fieldPosition="0" dataOnly="0" labelOnly="1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ables/table1.xml><?xml version="1.0" encoding="utf-8"?>
<table xmlns="http://schemas.openxmlformats.org/spreadsheetml/2006/main" id="1" name="Table_CampList" displayName="Table_CampList" ref="A4:W298" totalsRowShown="0" headerRowDxfId="212" dataDxfId="211" tableBorderDxfId="210">
  <sortState ref="A5:W294">
    <sortCondition sortBy="value" ref="D5:D294"/>
  </sortState>
  <tableColumns count="23">
    <tableColumn id="1" name="Sr.No" dataDxfId="209"/>
    <tableColumn id="26" name="Update Date" dataDxfId="208"/>
    <tableColumn id="24" name="Status" dataDxfId="207"/>
    <tableColumn id="2" name="State" dataDxfId="206"/>
    <tableColumn id="12" name="State_Pcode" dataDxfId="205"/>
    <tableColumn id="3" name="TOWNSHIP_NAME" dataDxfId="204"/>
    <tableColumn id="13" name="Township_Pcode" dataDxfId="203"/>
    <tableColumn id="14" name="VillageTrackWard_Name" dataDxfId="202"/>
    <tableColumn id="15" name="VillageTrackWard_Pcode" dataDxfId="201"/>
    <tableColumn id="16" name="Village_Name" dataDxfId="200"/>
    <tableColumn id="17" name="Village_Pcode" dataDxfId="199"/>
    <tableColumn id="4" name="Camp Name" dataDxfId="198"/>
    <tableColumn id="5" name="P_Code" dataDxfId="197"/>
    <tableColumn id="22" name="Accessibility" dataDxfId="196"/>
    <tableColumn id="6" name="Longitude" dataDxfId="195"/>
    <tableColumn id="7" name="Latitude" dataDxfId="194"/>
    <tableColumn id="8" name="HH" dataDxfId="193"/>
    <tableColumn id="9" name="Total" dataDxfId="192"/>
    <tableColumn id="11" name="Avg" dataDxfId="191">
      <calculatedColumnFormula>Table_CampList[[#This Row],[Total]]/Table_CampList[[#This Row],[HH]]</calculatedColumnFormula>
    </tableColumn>
    <tableColumn id="18" name="Source" dataDxfId="190"/>
    <tableColumn id="20" name="Method" dataDxfId="189"/>
    <tableColumn id="10" name="Type of Accomodation" dataDxfId="188"/>
    <tableColumn id="21" name="Comment" dataDxfId="18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e_Shelter" displayName="Table_Shelter" ref="A4:P517" totalsRowShown="0" headerRowDxfId="150">
  <autoFilter ref="A4:P517"/>
  <sortState ref="A5:P517">
    <sortCondition sortBy="value" ref="D5:D517"/>
  </sortState>
  <tableColumns count="16">
    <tableColumn id="1" name="DateUpdated" dataDxfId="149"/>
    <tableColumn id="2" name="Organization"/>
    <tableColumn id="3" name="ImplementingPartner"/>
    <tableColumn id="4" name="State"/>
    <tableColumn id="5" name="Township" dataDxfId="148"/>
    <tableColumn id="6" name="CampName"/>
    <tableColumn id="7" name="HHperShelter"/>
    <tableColumn id="8" name="#ofFamilyTentPlanned(Target)"/>
    <tableColumn id="9" name="#ofFamilyTentDistributed"/>
    <tableColumn id="10" name="#ofTemporaryShelterPlanned(Target)"/>
    <tableColumn id="11" name="#ofTemporaryShelterBuilt"/>
    <tableColumn id="12" name="#ofTemporaryShelterUnderConstruction"/>
    <tableColumn id="13" name="#ofPermanentHousePlanned(Target)"/>
    <tableColumn id="14" name="#ofPermanentHouseBuilt"/>
    <tableColumn id="15" name="#ofPermanentHouseUnderConstruction"/>
    <tableColumn id="16" name="HHCovered" dataDxfId="147">
      <calculatedColumnFormula>Table_Shelter[[#This Row],[HHperShelter]]*(Table_Shelter[[#This Row],['#ofTemporaryShelterBuilt]]+Table_Shelter[[#This Row],['#ofTemporaryShelterUnderConstruction]]+Table_Shelter[[#This Row],['#ofPermanentHouseBuilt]]+Table_Shelter[[#This Row],['#ofPermanentHouseUnderConstruction]])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e_NFI" displayName="Table_NFI" ref="B5:W258" totalsRowShown="0" headerRowDxfId="136" tableBorderDxfId="135">
  <sortState ref="B5:W255">
    <sortCondition sortBy="value" ref="E5:E255"/>
  </sortState>
  <tableColumns count="22">
    <tableColumn id="1" name="Distribution Date" dataDxfId="134"/>
    <tableColumn id="2" name="Organization" dataDxfId="133"/>
    <tableColumn id="3" name="Implementing Partner" dataDxfId="132"/>
    <tableColumn id="4" name="State" dataDxfId="131"/>
    <tableColumn id="5" name="Township" dataDxfId="130"/>
    <tableColumn id="6" name="Camp Name" dataDxfId="129"/>
    <tableColumn id="7" name="Hygiene Kit" dataDxfId="128"/>
    <tableColumn id="8" name="NFI Core Kit" dataDxfId="127"/>
    <tableColumn id="9" name="Sanitary Kit" dataDxfId="126"/>
    <tableColumn id="10" name="Mosquitoe net" dataDxfId="125"/>
    <tableColumn id="11" name="Tarpaulin" dataDxfId="124"/>
    <tableColumn id="12" name="Blanket" dataDxfId="123"/>
    <tableColumn id="13" name="Kitchen Set" dataDxfId="122"/>
    <tableColumn id="14" name="Complementary Kit" dataDxfId="121"/>
    <tableColumn id="15" name="Hygiene Kit2" dataDxfId="120">
      <calculatedColumnFormula>IF(NFI_Expiration=1,IF($A6&lt;VLOOKUP(H$5,NFI,5,0),1,0)*Table_NFI[[#This Row],[Hygiene Kit]],Table_NFI[[#This Row],[Hygiene Kit]])</calculatedColumnFormula>
    </tableColumn>
    <tableColumn id="16" name="NFI Core Kit3" dataDxfId="119">
      <calculatedColumnFormula>IF(NFI_Expiration=1,IF($A6&lt;VLOOKUP(I$5,NFI,5,0),1,0)*Table_NFI[[#This Row],[NFI Core Kit]],Table_NFI[[#This Row],[NFI Core Kit]])</calculatedColumnFormula>
    </tableColumn>
    <tableColumn id="17" name="Sanitary Kit4" dataDxfId="118">
      <calculatedColumnFormula>IF(NFI_Expiration=1,IF($A6&lt;VLOOKUP(J$5,NFI,5,0),1,0)*Table_NFI[[#This Row],[Sanitary Kit]],Table_NFI[[#This Row],[Sanitary Kit]])</calculatedColumnFormula>
    </tableColumn>
    <tableColumn id="18" name="Mosquitoe net5" dataDxfId="117">
      <calculatedColumnFormula>IF(NFI_Expiration=1,IF($A6&lt;VLOOKUP(K$5,NFI,5,0),1,0)*Table_NFI[[#This Row],[Mosquitoe net]],Table_NFI[[#This Row],[Mosquitoe net]])</calculatedColumnFormula>
    </tableColumn>
    <tableColumn id="19" name="Tarpaulin6" dataDxfId="116">
      <calculatedColumnFormula>IF(NFI_Expiration=1,IF($A6&lt;VLOOKUP(L$5,NFI,5,0),1,0)*Table_NFI[[#This Row],[Tarpaulin]],Table_NFI[[#This Row],[Tarpaulin]])</calculatedColumnFormula>
    </tableColumn>
    <tableColumn id="20" name="Blanket7" dataDxfId="115">
      <calculatedColumnFormula>IF(NFI_Expiration=1,IF($A6&lt;VLOOKUP(M$5,NFI,5,0),1,0)*Table_NFI[[#This Row],[Blanket]],Table_NFI[[#This Row],[Blanket]])</calculatedColumnFormula>
    </tableColumn>
    <tableColumn id="21" name="Kitchen Set8" dataDxfId="114">
      <calculatedColumnFormula>IF(NFI_Expiration=1,IF($A6&lt;VLOOKUP(N$5,NFI,5,0),1,0)*Table_NFI[[#This Row],[Kitchen Set]],Table_NFI[[#This Row],[Kitchen Set]])</calculatedColumnFormula>
    </tableColumn>
    <tableColumn id="22" name="Complementary Kit9" dataDxfId="113">
      <calculatedColumnFormula>IF(NFI_Expiration=1,IF($A6&lt;VLOOKUP(O$5,NFI,5,0),1,0)*Table_NFI[[#This Row],[Complementary Kit]],Table_NFI[[#This Row],[Complementary Kit]])</calculatedColumn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6" name="Table_Shelter67" displayName="Table_Shelter67" ref="A4:I23" totalsRowShown="0" headerRowDxfId="80">
  <autoFilter ref="A4:I23"/>
  <sortState ref="A5:P238">
    <sortCondition sortBy="value" ref="B5:B238"/>
    <sortCondition sortBy="value" ref="C5:C238"/>
    <sortCondition sortBy="value" ref="D5:D238"/>
  </sortState>
  <tableColumns count="9">
    <tableColumn id="1" name="Reported date" dataDxfId="79"/>
    <tableColumn id="4" name="State"/>
    <tableColumn id="5" name="Township" dataDxfId="78"/>
    <tableColumn id="6" name="Camp Name"/>
    <tableColumn id="7" name="Sector"/>
    <tableColumn id="8" name="Indicator"/>
    <tableColumn id="10" name="Value"/>
    <tableColumn id="9" name="Monitoring Date"/>
    <tableColumn id="14" name="Reporting Partner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le_CampList4" displayName="Table_CampList4" ref="A1:G309" totalsRowShown="0" headerRowDxfId="77" dataDxfId="76" tableBorderDxfId="75">
  <autoFilter ref="A1:G309"/>
  <sortState ref="A2:G309">
    <sortCondition sortBy="value" ref="A2:A309"/>
  </sortState>
  <tableColumns count="7">
    <tableColumn id="2" name="State_Region" dataDxfId="74"/>
    <tableColumn id="3" name="Township" dataDxfId="73"/>
    <tableColumn id="1" name="TS_Pcode" dataDxfId="72"/>
    <tableColumn id="4" name="Camp_Name" dataDxfId="71"/>
    <tableColumn id="5" name="Camp_Pcode" dataDxfId="70"/>
    <tableColumn id="6" name="Longitude" dataDxfId="69"/>
    <tableColumn id="7" name="Latitude" dataDxfId="6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4.xml" /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24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25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18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30.xml" /><Relationship Id="rId3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Relationship Id="rId3" Type="http://schemas.openxmlformats.org/officeDocument/2006/relationships/pivotTable" Target="../pivotTables/pivotTable10.xml" /><Relationship Id="rId4" Type="http://schemas.openxmlformats.org/officeDocument/2006/relationships/pivotTable" Target="../pivotTables/pivotTable11.xml" /><Relationship Id="rId5" Type="http://schemas.openxmlformats.org/officeDocument/2006/relationships/pivotTable" Target="../pivotTables/pivotTable12.xml" /><Relationship Id="rId6" Type="http://schemas.openxmlformats.org/officeDocument/2006/relationships/pivotTable" Target="../pivotTables/pivotTable13.xml" /></Relationships>
</file>

<file path=xl/worksheets/_rels/sheet4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2.xml" /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Relationship Id="rId3" Type="http://schemas.openxmlformats.org/officeDocument/2006/relationships/pivotTable" Target="../pivotTables/pivotTable14.xml" /><Relationship Id="rId4" Type="http://schemas.openxmlformats.org/officeDocument/2006/relationships/pivotTable" Target="../pivotTables/pivotTable1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Relationship Id="rId3" Type="http://schemas.openxmlformats.org/officeDocument/2006/relationships/pivotTable" Target="../pivotTables/pivotTable16.xml" /><Relationship Id="rId4" Type="http://schemas.openxmlformats.org/officeDocument/2006/relationships/pivotTable" Target="../pivotTables/pivotTable17.xml" /></Relationships>
</file>

<file path=xl/worksheets/_rels/sheet9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3.xml" /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0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V50"/>
  <sheetViews>
    <sheetView showZeros="0" zoomScale="80" zoomScaleNormal="80" workbookViewId="0" topLeftCell="A1"/>
  </sheetViews>
  <sheetFormatPr defaultColWidth="9.140625" defaultRowHeight="15"/>
  <cols>
    <col min="1" max="1" width="2.00390625" style="11" customWidth="1"/>
    <col min="2" max="4" width="9.140625" style="11" customWidth="1"/>
    <col min="5" max="5" width="3.28125" style="11" customWidth="1"/>
    <col min="6" max="10" width="9.140625" style="11" customWidth="1"/>
    <col min="11" max="11" width="3.28125" style="11" customWidth="1"/>
    <col min="12" max="14" width="9.140625" style="11" customWidth="1"/>
    <col min="15" max="15" width="3.28125" style="11" customWidth="1"/>
    <col min="16" max="18" width="9.140625" style="11" hidden="1" customWidth="1"/>
    <col min="19" max="19" width="3.28125" style="11" hidden="1" customWidth="1"/>
    <col min="20" max="22" width="9.140625" style="11" hidden="1" customWidth="1"/>
    <col min="23" max="16384" width="9.140625" style="11" customWidth="1"/>
  </cols>
  <sheetData>
    <row r="1" ht="5.25" customHeight="1"/>
    <row r="2" spans="3:22" ht="8.25" customHeight="1">
      <c r="C2" s="326" t="s">
        <v>816</v>
      </c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</row>
    <row r="3" spans="3:22" ht="18" customHeight="1"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</row>
    <row r="4" spans="3:22" ht="11.25" customHeight="1"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</row>
    <row r="5" ht="8.25" customHeight="1"/>
    <row r="6" ht="8.25" customHeight="1"/>
    <row r="7" spans="3:22" ht="15">
      <c r="C7" s="325" t="s">
        <v>870</v>
      </c>
      <c r="D7" s="325"/>
      <c r="E7" s="98"/>
      <c r="F7" s="327" t="s">
        <v>875</v>
      </c>
      <c r="G7" s="327"/>
      <c r="H7" s="327"/>
      <c r="I7" s="327"/>
      <c r="J7" s="327"/>
      <c r="K7" s="98"/>
      <c r="L7" s="327" t="s">
        <v>868</v>
      </c>
      <c r="M7" s="327"/>
      <c r="N7" s="327"/>
      <c r="O7" s="98"/>
      <c r="P7" s="327" t="s">
        <v>873</v>
      </c>
      <c r="Q7" s="327"/>
      <c r="R7" s="327"/>
      <c r="S7" s="98"/>
      <c r="T7" s="327" t="s">
        <v>874</v>
      </c>
      <c r="U7" s="327"/>
      <c r="V7" s="327"/>
    </row>
    <row r="8" spans="3:22" ht="15">
      <c r="C8" s="325"/>
      <c r="D8" s="325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</row>
    <row r="9" spans="3:22" ht="15">
      <c r="C9" s="325"/>
      <c r="D9" s="325"/>
      <c r="E9" s="98"/>
      <c r="F9" s="98"/>
      <c r="G9" s="98"/>
      <c r="H9" s="98"/>
      <c r="I9" s="98"/>
      <c r="J9" s="98"/>
      <c r="K9" s="98"/>
      <c r="L9" s="97" t="s">
        <v>434</v>
      </c>
      <c r="M9" s="309" t="s">
        <v>433</v>
      </c>
      <c r="N9" s="310" t="s">
        <v>869</v>
      </c>
      <c r="O9" s="98"/>
      <c r="P9" s="95" t="s">
        <v>434</v>
      </c>
      <c r="Q9" s="309" t="s">
        <v>433</v>
      </c>
      <c r="R9" s="310" t="s">
        <v>869</v>
      </c>
      <c r="S9" s="98"/>
      <c r="T9" s="95" t="s">
        <v>434</v>
      </c>
      <c r="U9" s="96" t="s">
        <v>433</v>
      </c>
      <c r="V9" s="94" t="s">
        <v>869</v>
      </c>
    </row>
    <row r="10" spans="3:22" ht="15">
      <c r="C10" s="325"/>
      <c r="D10" s="325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</row>
    <row r="11" spans="3:22" ht="15">
      <c r="C11" s="325"/>
      <c r="D11" s="325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</row>
    <row r="12" spans="3:22" ht="15">
      <c r="C12" s="325"/>
      <c r="D12" s="325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</row>
    <row r="14" spans="3:22" ht="15">
      <c r="C14" s="325" t="s">
        <v>871</v>
      </c>
      <c r="D14" s="325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</row>
    <row r="15" spans="3:22" ht="15">
      <c r="C15" s="325"/>
      <c r="D15" s="325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</row>
    <row r="16" spans="3:22" ht="15">
      <c r="C16" s="325"/>
      <c r="D16" s="325"/>
      <c r="E16" s="98"/>
      <c r="F16" s="98"/>
      <c r="G16" s="98"/>
      <c r="H16" s="98"/>
      <c r="I16" s="98"/>
      <c r="J16" s="98"/>
      <c r="K16" s="98"/>
      <c r="L16" s="97" t="s">
        <v>434</v>
      </c>
      <c r="M16" s="309" t="s">
        <v>433</v>
      </c>
      <c r="N16" s="310" t="s">
        <v>869</v>
      </c>
      <c r="O16" s="98"/>
      <c r="P16" s="95" t="s">
        <v>434</v>
      </c>
      <c r="Q16" s="309" t="s">
        <v>433</v>
      </c>
      <c r="R16" s="310" t="s">
        <v>869</v>
      </c>
      <c r="S16" s="98"/>
      <c r="T16" s="95" t="s">
        <v>434</v>
      </c>
      <c r="U16" s="96" t="s">
        <v>433</v>
      </c>
      <c r="V16" s="94" t="s">
        <v>869</v>
      </c>
    </row>
    <row r="17" spans="3:22" ht="15">
      <c r="C17" s="325"/>
      <c r="D17" s="325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</row>
    <row r="18" spans="3:22" ht="15">
      <c r="C18" s="325"/>
      <c r="D18" s="325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</row>
    <row r="19" spans="3:22" ht="15">
      <c r="C19" s="325"/>
      <c r="D19" s="325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</row>
    <row r="21" spans="3:22" ht="15">
      <c r="C21" s="325" t="s">
        <v>872</v>
      </c>
      <c r="D21" s="325"/>
      <c r="E21" s="99"/>
      <c r="F21" s="99"/>
      <c r="G21" s="99"/>
      <c r="H21" s="99"/>
      <c r="I21" s="99"/>
      <c r="J21" s="99"/>
      <c r="K21" s="99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</row>
    <row r="22" spans="3:22" ht="15">
      <c r="C22" s="325"/>
      <c r="D22" s="325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8"/>
      <c r="P22" s="98"/>
      <c r="Q22" s="98"/>
      <c r="R22" s="98"/>
      <c r="S22" s="98"/>
      <c r="T22" s="32"/>
      <c r="U22" s="32"/>
      <c r="V22" s="32"/>
    </row>
    <row r="23" spans="3:22" ht="15">
      <c r="C23" s="325"/>
      <c r="D23" s="325"/>
      <c r="E23" s="99"/>
      <c r="F23" s="99"/>
      <c r="G23" s="99"/>
      <c r="H23" s="99"/>
      <c r="I23" s="99"/>
      <c r="J23" s="99"/>
      <c r="K23" s="99"/>
      <c r="L23" s="310" t="s">
        <v>434</v>
      </c>
      <c r="M23" s="310" t="s">
        <v>433</v>
      </c>
      <c r="N23" s="310" t="s">
        <v>869</v>
      </c>
      <c r="O23" s="98"/>
      <c r="P23" s="95" t="s">
        <v>434</v>
      </c>
      <c r="Q23" s="309" t="s">
        <v>433</v>
      </c>
      <c r="R23" s="310" t="s">
        <v>869</v>
      </c>
      <c r="S23" s="98"/>
      <c r="T23" s="95" t="s">
        <v>434</v>
      </c>
      <c r="U23" s="96" t="s">
        <v>433</v>
      </c>
      <c r="V23" s="94" t="s">
        <v>869</v>
      </c>
    </row>
    <row r="24" spans="3:22" ht="15">
      <c r="C24" s="325"/>
      <c r="D24" s="325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8"/>
      <c r="P24" s="98"/>
      <c r="Q24" s="98"/>
      <c r="R24" s="98"/>
      <c r="S24" s="98"/>
      <c r="T24" s="32"/>
      <c r="U24" s="32"/>
      <c r="V24" s="32"/>
    </row>
    <row r="50" ht="15">
      <c r="B50" s="11" t="s">
        <v>1272</v>
      </c>
    </row>
  </sheetData>
  <mergeCells count="8">
    <mergeCell ref="C7:D12"/>
    <mergeCell ref="C14:D19"/>
    <mergeCell ref="C21:D24"/>
    <mergeCell ref="C2:V4"/>
    <mergeCell ref="T7:V7"/>
    <mergeCell ref="P7:R7"/>
    <mergeCell ref="L7:N7"/>
    <mergeCell ref="F7:J7"/>
  </mergeCells>
  <hyperlinks>
    <hyperlink ref="L9" location="Rakhine_CCCM_D!A1" display="Rakhine"/>
    <hyperlink ref="M9" location="Kachin_CCCM_D!A1" display="Kachin"/>
    <hyperlink ref="L16" location="Rakhine_Shelter_D!A1" display="Rakhine"/>
    <hyperlink ref="M16" location="Kashin_Shelter_D!A1" display="Kachin"/>
    <hyperlink ref="M23" location="Kachin_CCCM_D!A1" display="Kachin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F96"/>
  <sheetViews>
    <sheetView showZeros="0" zoomScale="60" zoomScaleNormal="60" zoomScalePageLayoutView="80" workbookViewId="0" topLeftCell="A1"/>
  </sheetViews>
  <sheetFormatPr defaultColWidth="9.140625" defaultRowHeight="15"/>
  <cols>
    <col min="1" max="1" width="3.00390625" style="238" customWidth="1"/>
    <col min="2" max="2" width="6.8515625" style="238" customWidth="1"/>
    <col min="3" max="3" width="9.140625" style="238" customWidth="1"/>
    <col min="4" max="4" width="15.140625" style="238" customWidth="1"/>
    <col min="5" max="5" width="9.140625" style="238" customWidth="1"/>
    <col min="6" max="6" width="7.8515625" style="238" customWidth="1"/>
    <col min="7" max="7" width="12.00390625" style="238" customWidth="1"/>
    <col min="8" max="8" width="8.57421875" style="238" customWidth="1"/>
    <col min="9" max="9" width="12.57421875" style="238" customWidth="1"/>
    <col min="10" max="19" width="9.140625" style="238" customWidth="1"/>
    <col min="20" max="21" width="12.57421875" style="238" customWidth="1"/>
    <col min="22" max="22" width="17.28125" style="238" customWidth="1"/>
    <col min="23" max="23" width="13.7109375" style="238" customWidth="1"/>
    <col min="24" max="24" width="12.28125" style="238" customWidth="1"/>
    <col min="25" max="25" width="14.8515625" style="238" customWidth="1"/>
    <col min="26" max="26" width="12.57421875" style="238" customWidth="1"/>
    <col min="27" max="27" width="25.421875" style="238" customWidth="1"/>
    <col min="28" max="28" width="48.140625" style="238" customWidth="1"/>
    <col min="29" max="29" width="11.140625" style="238" customWidth="1"/>
    <col min="30" max="30" width="6.57421875" style="238" customWidth="1"/>
    <col min="31" max="31" width="14.7109375" style="238" customWidth="1"/>
    <col min="32" max="32" width="11.00390625" style="238" customWidth="1"/>
    <col min="33" max="16384" width="9.140625" style="238" customWidth="1"/>
  </cols>
  <sheetData>
    <row r="1" spans="1:58" s="2" customFormat="1" ht="36">
      <c r="A1" s="282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181"/>
      <c r="U1" s="238"/>
      <c r="BE1" s="283"/>
      <c r="BF1" s="283"/>
    </row>
    <row r="2" spans="1:58" s="2" customFormat="1" ht="36">
      <c r="A2" s="282" t="s">
        <v>1273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34"/>
      <c r="U2" s="238"/>
      <c r="BE2" s="283"/>
      <c r="BF2" s="283"/>
    </row>
    <row r="3" spans="1:58" s="39" customFormat="1" ht="18" customHeight="1">
      <c r="A3" s="328" t="str">
        <f>Report_Date</f>
        <v>Juin 2013</v>
      </c>
      <c r="B3" s="328"/>
      <c r="C3" s="328"/>
      <c r="D3" s="182"/>
      <c r="E3" s="182"/>
      <c r="F3" s="182"/>
      <c r="G3" s="182"/>
      <c r="H3" s="182"/>
      <c r="I3" s="182"/>
      <c r="J3" s="182"/>
      <c r="L3" s="182"/>
      <c r="M3" s="182"/>
      <c r="N3" s="182"/>
      <c r="O3" s="182"/>
      <c r="P3" s="182"/>
      <c r="Q3" s="182"/>
      <c r="R3" s="182"/>
      <c r="S3" s="284"/>
      <c r="T3" s="182"/>
      <c r="U3" s="182"/>
      <c r="BE3" s="284"/>
      <c r="BF3" s="284"/>
    </row>
    <row r="4" ht="15"/>
    <row r="5" spans="22:39" ht="15">
      <c r="V5" s="39"/>
      <c r="W5" s="39"/>
      <c r="X5" s="39"/>
      <c r="Y5" s="40"/>
      <c r="Z5" s="39"/>
      <c r="AA5" s="39"/>
      <c r="AB5" s="41" t="s">
        <v>838</v>
      </c>
      <c r="AC5" s="11"/>
      <c r="AD5" s="11"/>
      <c r="AM5" s="238">
        <f>COUNTA(AK:AK)-1</f>
        <v>-1</v>
      </c>
    </row>
    <row r="6" spans="22:30" ht="15">
      <c r="V6" s="345" t="s">
        <v>1</v>
      </c>
      <c r="W6" s="345" t="s">
        <v>822</v>
      </c>
      <c r="X6" s="345" t="s">
        <v>823</v>
      </c>
      <c r="Y6" s="345" t="s">
        <v>840</v>
      </c>
      <c r="Z6" s="42"/>
      <c r="AA6" s="39"/>
      <c r="AB6" s="43" t="s">
        <v>839</v>
      </c>
      <c r="AC6" s="44"/>
      <c r="AD6" s="44"/>
    </row>
    <row r="7" spans="22:30" ht="15">
      <c r="V7" s="346"/>
      <c r="W7" s="346"/>
      <c r="X7" s="346"/>
      <c r="Y7" s="346"/>
      <c r="Z7" s="46"/>
      <c r="AA7" s="39"/>
      <c r="AB7" s="47"/>
      <c r="AC7" s="48"/>
      <c r="AD7" s="48"/>
    </row>
    <row r="8" spans="22:33" ht="23.25">
      <c r="V8" s="45" t="s">
        <v>7</v>
      </c>
      <c r="W8" s="84">
        <f>SUMIFS(Camplist_HH,Camplist_Township,Kashin_Shelter_D!$V8,CampList_Status,"Open")</f>
        <v>1276</v>
      </c>
      <c r="X8" s="49">
        <f>SUMIFS(Camplist_Popl,Camplist_Township,Kashin_Shelter_D!$V8,CampList_Status,"Open")</f>
        <v>5768</v>
      </c>
      <c r="Y8" s="102">
        <f>COUNTIFS(Camplist_Township,Kashin_Shelter_D!V8,CampList_Status,"open")</f>
        <v>13</v>
      </c>
      <c r="Z8" s="39"/>
      <c r="AG8" s="51"/>
    </row>
    <row r="9" spans="22:39" ht="15">
      <c r="V9" s="45" t="s">
        <v>29</v>
      </c>
      <c r="W9" s="84">
        <f>SUMIFS(Camplist_HH,Camplist_Township,Kashin_Shelter_D!$V9,CampList_Status,"Open")</f>
        <v>95.4</v>
      </c>
      <c r="X9" s="49">
        <f>SUMIFS(Camplist_Popl,Camplist_Township,Kashin_Shelter_D!$V9,CampList_Status,"Open")</f>
        <v>830</v>
      </c>
      <c r="Y9" s="102">
        <f>COUNTIFS(Camplist_Township,Kashin_Shelter_D!V9,CampList_Status,"open")</f>
        <v>6</v>
      </c>
      <c r="Z9" s="40"/>
      <c r="AA9" s="39"/>
      <c r="AH9" s="334"/>
      <c r="AI9" s="334"/>
      <c r="AK9" s="38"/>
      <c r="AL9" s="52"/>
      <c r="AM9" s="52"/>
    </row>
    <row r="10" spans="22:39" ht="15">
      <c r="V10" s="45" t="s">
        <v>41</v>
      </c>
      <c r="W10" s="84">
        <f>SUMIFS(Camplist_HH,Camplist_Township,Kashin_Shelter_D!$V10,CampList_Status,"Open")</f>
        <v>1330</v>
      </c>
      <c r="X10" s="49">
        <f>SUMIFS(Camplist_Popl,Camplist_Township,Kashin_Shelter_D!$V10,CampList_Status,"Open")</f>
        <v>5069</v>
      </c>
      <c r="Y10" s="102">
        <f>COUNTIFS(Camplist_Township,Kashin_Shelter_D!V10,CampList_Status,"open")</f>
        <v>23</v>
      </c>
      <c r="Z10" s="53"/>
      <c r="AA10" s="39"/>
      <c r="AG10" s="54"/>
      <c r="AH10" s="333"/>
      <c r="AI10" s="333"/>
      <c r="AK10" s="55"/>
      <c r="AL10" s="56"/>
      <c r="AM10" s="57"/>
    </row>
    <row r="11" spans="1:39" ht="15.75">
      <c r="A11" s="239"/>
      <c r="B11" s="239"/>
      <c r="C11" s="335"/>
      <c r="D11" s="335"/>
      <c r="E11" s="335"/>
      <c r="F11" s="335"/>
      <c r="G11" s="332"/>
      <c r="H11" s="239"/>
      <c r="I11" s="239"/>
      <c r="J11" s="39"/>
      <c r="K11" s="39"/>
      <c r="V11" s="45" t="s">
        <v>412</v>
      </c>
      <c r="W11" s="84">
        <f>SUMIFS(Camplist_HH,Camplist_Township,Kashin_Shelter_D!$V11,CampList_Status,"Open")</f>
        <v>0</v>
      </c>
      <c r="X11" s="49">
        <f>SUMIFS(Camplist_Popl,Camplist_Township,Kashin_Shelter_D!$V11,CampList_Status,"Open")</f>
        <v>0</v>
      </c>
      <c r="Y11" s="102">
        <f>COUNTIFS(Camplist_Township,Kashin_Shelter_D!V11,CampList_Status,"open")</f>
        <v>1</v>
      </c>
      <c r="Z11" s="39"/>
      <c r="AA11" s="39"/>
      <c r="AB11" s="39"/>
      <c r="AG11" s="54"/>
      <c r="AH11" s="333"/>
      <c r="AI11" s="333"/>
      <c r="AK11" s="55"/>
      <c r="AL11" s="56"/>
      <c r="AM11" s="57"/>
    </row>
    <row r="12" spans="1:39" ht="15.75">
      <c r="A12" s="59"/>
      <c r="B12" s="59"/>
      <c r="C12" s="331"/>
      <c r="D12" s="332"/>
      <c r="E12" s="332"/>
      <c r="F12" s="349"/>
      <c r="G12" s="349"/>
      <c r="H12" s="60"/>
      <c r="I12" s="60"/>
      <c r="J12" s="39"/>
      <c r="K12" s="39"/>
      <c r="V12" s="45" t="s">
        <v>148</v>
      </c>
      <c r="W12" s="84">
        <f>SUMIFS(Camplist_HH,Camplist_Township,Kashin_Shelter_D!$V12,CampList_Status,"Open")</f>
        <v>22</v>
      </c>
      <c r="X12" s="49">
        <f>SUMIFS(Camplist_Popl,Camplist_Township,Kashin_Shelter_D!$V12,CampList_Status,"Open")</f>
        <v>107</v>
      </c>
      <c r="Y12" s="102">
        <f>COUNTIFS(Camplist_Township,Kashin_Shelter_D!V12,CampList_Status,"open")</f>
        <v>1</v>
      </c>
      <c r="Z12" s="61"/>
      <c r="AA12" s="39"/>
      <c r="AB12" s="39"/>
      <c r="AG12" s="54"/>
      <c r="AH12" s="333"/>
      <c r="AI12" s="333"/>
      <c r="AK12" s="55"/>
      <c r="AL12" s="56"/>
      <c r="AM12" s="57"/>
    </row>
    <row r="13" spans="1:39" ht="15.75">
      <c r="A13" s="59"/>
      <c r="B13" s="59"/>
      <c r="C13" s="331"/>
      <c r="D13" s="332"/>
      <c r="E13" s="332"/>
      <c r="F13" s="349"/>
      <c r="G13" s="332"/>
      <c r="H13" s="60"/>
      <c r="I13" s="60"/>
      <c r="J13" s="39"/>
      <c r="K13" s="39"/>
      <c r="V13" s="45" t="s">
        <v>150</v>
      </c>
      <c r="W13" s="84">
        <f>SUMIFS(Camplist_HH,Camplist_Township,Kashin_Shelter_D!$V13,CampList_Status,"Open")</f>
        <v>148</v>
      </c>
      <c r="X13" s="49">
        <f>SUMIFS(Camplist_Popl,Camplist_Township,Kashin_Shelter_D!$V13,CampList_Status,"Open")</f>
        <v>571</v>
      </c>
      <c r="Y13" s="102">
        <f>COUNTIFS(Camplist_Township,Kashin_Shelter_D!V13,CampList_Status,"open")</f>
        <v>8</v>
      </c>
      <c r="Z13" s="42"/>
      <c r="AA13" s="39"/>
      <c r="AB13" s="39"/>
      <c r="AC13" s="44"/>
      <c r="AD13" s="44"/>
      <c r="AE13" s="44"/>
      <c r="AF13" s="44"/>
      <c r="AG13" s="54"/>
      <c r="AH13" s="333"/>
      <c r="AI13" s="333"/>
      <c r="AK13" s="55"/>
      <c r="AL13" s="56"/>
      <c r="AM13" s="57"/>
    </row>
    <row r="14" spans="1:39" ht="15.75">
      <c r="A14" s="59"/>
      <c r="B14" s="59"/>
      <c r="C14" s="331"/>
      <c r="D14" s="332"/>
      <c r="E14" s="332"/>
      <c r="F14" s="349"/>
      <c r="G14" s="332"/>
      <c r="H14" s="60"/>
      <c r="I14" s="60"/>
      <c r="J14" s="39"/>
      <c r="K14" s="39"/>
      <c r="V14" s="45" t="s">
        <v>155</v>
      </c>
      <c r="W14" s="84">
        <f>SUMIFS(Camplist_HH,Camplist_Township,Kashin_Shelter_D!$V14,CampList_Status,"Open")</f>
        <v>1551.2</v>
      </c>
      <c r="X14" s="49">
        <f>SUMIFS(Camplist_Popl,Camplist_Township,Kashin_Shelter_D!$V14,CampList_Status,"Open")</f>
        <v>7286</v>
      </c>
      <c r="Y14" s="102">
        <f>COUNTIFS(Camplist_Township,Kashin_Shelter_D!V14,CampList_Status,"open")</f>
        <v>11</v>
      </c>
      <c r="Z14" s="42"/>
      <c r="AA14" s="39"/>
      <c r="AB14" s="39"/>
      <c r="AC14" s="44"/>
      <c r="AD14" s="44"/>
      <c r="AE14" s="44"/>
      <c r="AF14" s="44"/>
      <c r="AG14" s="54"/>
      <c r="AH14" s="333"/>
      <c r="AI14" s="333"/>
      <c r="AK14" s="55"/>
      <c r="AL14" s="56"/>
      <c r="AM14" s="57"/>
    </row>
    <row r="15" spans="1:39" ht="15.75">
      <c r="A15" s="59"/>
      <c r="B15" s="59"/>
      <c r="C15" s="331"/>
      <c r="D15" s="332"/>
      <c r="E15" s="332"/>
      <c r="F15" s="349"/>
      <c r="G15" s="332"/>
      <c r="H15" s="60"/>
      <c r="I15" s="60"/>
      <c r="J15" s="39"/>
      <c r="K15" s="39"/>
      <c r="V15" s="45" t="s">
        <v>170</v>
      </c>
      <c r="W15" s="84">
        <f>SUMIFS(Camplist_HH,Camplist_Township,Kashin_Shelter_D!$V15,CampList_Status,"Open")</f>
        <v>53</v>
      </c>
      <c r="X15" s="49">
        <f>SUMIFS(Camplist_Popl,Camplist_Township,Kashin_Shelter_D!$V15,CampList_Status,"Open")</f>
        <v>260</v>
      </c>
      <c r="Y15" s="102">
        <f>COUNTIFS(Camplist_Township,Kashin_Shelter_D!V15,CampList_Status,"open")</f>
        <v>3</v>
      </c>
      <c r="Z15" s="42"/>
      <c r="AA15" s="39"/>
      <c r="AB15" s="39"/>
      <c r="AC15" s="44"/>
      <c r="AD15" s="44"/>
      <c r="AE15" s="44"/>
      <c r="AF15" s="44"/>
      <c r="AG15" s="54"/>
      <c r="AH15" s="333"/>
      <c r="AI15" s="333"/>
      <c r="AJ15" s="62"/>
      <c r="AK15" s="63"/>
      <c r="AL15" s="64"/>
      <c r="AM15" s="65"/>
    </row>
    <row r="16" spans="1:32" ht="15.75">
      <c r="A16" s="59"/>
      <c r="B16" s="59"/>
      <c r="C16" s="331"/>
      <c r="D16" s="332"/>
      <c r="E16" s="332"/>
      <c r="F16" s="349"/>
      <c r="G16" s="332"/>
      <c r="H16" s="60"/>
      <c r="I16" s="60"/>
      <c r="J16" s="39"/>
      <c r="K16" s="39"/>
      <c r="V16" s="45" t="s">
        <v>177</v>
      </c>
      <c r="W16" s="84">
        <f>SUMIFS(Camplist_HH,Camplist_Township,Kashin_Shelter_D!$V16,CampList_Status,"Open")</f>
        <v>45</v>
      </c>
      <c r="X16" s="49">
        <f>SUMIFS(Camplist_Popl,Camplist_Township,Kashin_Shelter_D!$V16,CampList_Status,"Open")</f>
        <v>188</v>
      </c>
      <c r="Y16" s="102">
        <f>COUNTIFS(Camplist_Township,Kashin_Shelter_D!V16,CampList_Status,"open")</f>
        <v>3</v>
      </c>
      <c r="Z16" s="42"/>
      <c r="AA16" s="39"/>
      <c r="AB16" s="39"/>
      <c r="AC16" s="44"/>
      <c r="AD16" s="44"/>
      <c r="AE16" s="44"/>
      <c r="AF16" s="44"/>
    </row>
    <row r="17" spans="1:28" ht="15.75">
      <c r="A17" s="59"/>
      <c r="B17" s="59"/>
      <c r="C17" s="331"/>
      <c r="D17" s="332"/>
      <c r="E17" s="332"/>
      <c r="F17" s="349"/>
      <c r="G17" s="332"/>
      <c r="H17" s="60"/>
      <c r="I17" s="60"/>
      <c r="J17" s="39"/>
      <c r="K17" s="39"/>
      <c r="V17" s="45" t="s">
        <v>184</v>
      </c>
      <c r="W17" s="84">
        <f>SUMIFS(Camplist_HH,Camplist_Township,Kashin_Shelter_D!$V17,CampList_Status,"Open")</f>
        <v>34</v>
      </c>
      <c r="X17" s="49">
        <f>SUMIFS(Camplist_Popl,Camplist_Township,Kashin_Shelter_D!$V17,CampList_Status,"Open")</f>
        <v>143</v>
      </c>
      <c r="Y17" s="102">
        <f>COUNTIFS(Camplist_Township,Kashin_Shelter_D!V17,CampList_Status,"open")</f>
        <v>3</v>
      </c>
      <c r="Z17" s="42"/>
      <c r="AA17" s="39"/>
      <c r="AB17" s="39"/>
    </row>
    <row r="18" spans="1:28" ht="15.75">
      <c r="A18" s="59"/>
      <c r="B18" s="59"/>
      <c r="C18" s="331"/>
      <c r="D18" s="332"/>
      <c r="E18" s="332"/>
      <c r="F18" s="349"/>
      <c r="G18" s="332"/>
      <c r="H18" s="60"/>
      <c r="I18" s="60"/>
      <c r="J18" s="39"/>
      <c r="K18" s="39"/>
      <c r="V18" s="91" t="s">
        <v>189</v>
      </c>
      <c r="W18" s="84">
        <f>SUMIFS(Camplist_HH,Camplist_Township,Kashin_Shelter_D!$V18,CampList_Status,"Open")</f>
        <v>5355</v>
      </c>
      <c r="X18" s="49">
        <f>SUMIFS(Camplist_Popl,Camplist_Township,Kashin_Shelter_D!$V18,CampList_Status,"Open")</f>
        <v>25037</v>
      </c>
      <c r="Y18" s="102">
        <f>COUNTIFS(Camplist_Township,Kashin_Shelter_D!V18,CampList_Status,"open")</f>
        <v>25</v>
      </c>
      <c r="Z18" s="42"/>
      <c r="AA18" s="39"/>
      <c r="AB18" s="39"/>
    </row>
    <row r="19" spans="1:28" ht="15.75">
      <c r="A19" s="59"/>
      <c r="B19" s="59"/>
      <c r="C19" s="331"/>
      <c r="D19" s="332"/>
      <c r="E19" s="332"/>
      <c r="F19" s="349"/>
      <c r="G19" s="332"/>
      <c r="H19" s="60"/>
      <c r="I19" s="60"/>
      <c r="J19" s="39"/>
      <c r="K19" s="39"/>
      <c r="V19" s="91" t="s">
        <v>432</v>
      </c>
      <c r="W19" s="84">
        <f>SUMIFS(Camplist_HH,Camplist_Township,Kashin_Shelter_D!$V19,CampList_Status,"Open")</f>
        <v>0</v>
      </c>
      <c r="X19" s="49">
        <f>SUMIFS(Camplist_Popl,Camplist_Township,Kashin_Shelter_D!$V19,CampList_Status,"Open")</f>
        <v>0</v>
      </c>
      <c r="Y19" s="102">
        <f>COUNTIFS(Camplist_Township,Kashin_Shelter_D!V19,CampList_Status,"open")</f>
        <v>0</v>
      </c>
      <c r="Z19" s="42"/>
      <c r="AA19" s="39"/>
      <c r="AB19" s="39"/>
    </row>
    <row r="20" spans="1:38" ht="15.75">
      <c r="A20" s="59"/>
      <c r="B20" s="59"/>
      <c r="C20" s="331"/>
      <c r="D20" s="332"/>
      <c r="E20" s="332"/>
      <c r="F20" s="349"/>
      <c r="G20" s="332"/>
      <c r="H20" s="60"/>
      <c r="I20" s="60"/>
      <c r="J20" s="39"/>
      <c r="K20" s="39"/>
      <c r="V20" s="91" t="s">
        <v>234</v>
      </c>
      <c r="W20" s="84">
        <f>SUMIFS(Camplist_HH,Camplist_Township,Kashin_Shelter_D!$V20,CampList_Status,"Open")</f>
        <v>208</v>
      </c>
      <c r="X20" s="49">
        <f>SUMIFS(Camplist_Popl,Camplist_Township,Kashin_Shelter_D!$V20,CampList_Status,"Open")</f>
        <v>882</v>
      </c>
      <c r="Y20" s="102">
        <f>COUNTIFS(Camplist_Township,Kashin_Shelter_D!V20,CampList_Status,"open")</f>
        <v>4</v>
      </c>
      <c r="AA20" s="39"/>
      <c r="AB20" s="39"/>
      <c r="AK20" s="11"/>
      <c r="AL20" s="11"/>
    </row>
    <row r="21" spans="1:38" ht="15.75">
      <c r="A21" s="347"/>
      <c r="B21" s="348"/>
      <c r="C21" s="348"/>
      <c r="D21" s="348"/>
      <c r="E21" s="348"/>
      <c r="F21" s="348"/>
      <c r="G21" s="348"/>
      <c r="H21" s="67"/>
      <c r="I21" s="67"/>
      <c r="J21" s="39"/>
      <c r="K21" s="39"/>
      <c r="V21" s="91" t="s">
        <v>241</v>
      </c>
      <c r="W21" s="84">
        <f>SUMIFS(Camplist_HH,Camplist_Township,Kashin_Shelter_D!$V21,CampList_Status,"Open")</f>
        <v>1434</v>
      </c>
      <c r="X21" s="49">
        <f>SUMIFS(Camplist_Popl,Camplist_Township,Kashin_Shelter_D!$V21,CampList_Status,"Open")</f>
        <v>6480</v>
      </c>
      <c r="Y21" s="102">
        <f>COUNTIFS(Camplist_Township,Kashin_Shelter_D!V21,CampList_Status,"open")</f>
        <v>25</v>
      </c>
      <c r="Z21" s="8"/>
      <c r="AA21" s="39"/>
      <c r="AB21" s="39"/>
      <c r="AK21" s="11"/>
      <c r="AL21" s="11"/>
    </row>
    <row r="22" spans="1:38" ht="1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V22" s="91" t="s">
        <v>294</v>
      </c>
      <c r="W22" s="84">
        <f>SUMIFS(Camplist_HH,Camplist_Township,Kashin_Shelter_D!$V22,CampList_Status,"Open")</f>
        <v>284</v>
      </c>
      <c r="X22" s="49">
        <f>SUMIFS(Camplist_Popl,Camplist_Township,Kashin_Shelter_D!$V22,CampList_Status,"Open")</f>
        <v>1367</v>
      </c>
      <c r="Y22" s="102">
        <f>COUNTIFS(Camplist_Township,Kashin_Shelter_D!V22,CampList_Status,"open")</f>
        <v>7</v>
      </c>
      <c r="Z22" s="8"/>
      <c r="AA22" s="39"/>
      <c r="AB22" s="39"/>
      <c r="AK22" s="11"/>
      <c r="AL22" s="11"/>
    </row>
    <row r="23" spans="1:38" ht="1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V23" s="91" t="s">
        <v>303</v>
      </c>
      <c r="W23" s="84">
        <f>SUMIFS(Camplist_HH,Camplist_Township,Kashin_Shelter_D!$V23,CampList_Status,"Open")</f>
        <v>18</v>
      </c>
      <c r="X23" s="49">
        <f>SUMIFS(Camplist_Popl,Camplist_Township,Kashin_Shelter_D!$V23,CampList_Status,"Open")</f>
        <v>74</v>
      </c>
      <c r="Y23" s="102">
        <f>COUNTIFS(Camplist_Township,Kashin_Shelter_D!V23,CampList_Status,"open")</f>
        <v>1</v>
      </c>
      <c r="Z23" s="8"/>
      <c r="AA23" s="39"/>
      <c r="AB23" s="39"/>
      <c r="AC23" s="44"/>
      <c r="AD23" s="44"/>
      <c r="AE23" s="44"/>
      <c r="AF23" s="44"/>
      <c r="AK23" s="11"/>
      <c r="AL23" s="11"/>
    </row>
    <row r="24" spans="1:38" ht="1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V24" s="91" t="s">
        <v>306</v>
      </c>
      <c r="W24" s="84">
        <f>SUMIFS(Camplist_HH,Camplist_Township,Kashin_Shelter_D!$V24,CampList_Status,"Open")</f>
        <v>0</v>
      </c>
      <c r="X24" s="49">
        <f>SUMIFS(Camplist_Popl,Camplist_Township,Kashin_Shelter_D!$V24,CampList_Status,"Open")</f>
        <v>0</v>
      </c>
      <c r="Y24" s="102">
        <f>COUNTIFS(Camplist_Township,Kashin_Shelter_D!V24,CampList_Status,"open")</f>
        <v>1</v>
      </c>
      <c r="Z24" s="8"/>
      <c r="AA24" s="61"/>
      <c r="AB24" s="69" t="s">
        <v>843</v>
      </c>
      <c r="AC24" s="43"/>
      <c r="AD24" s="44"/>
      <c r="AE24" s="44"/>
      <c r="AF24" s="44"/>
      <c r="AK24" s="11"/>
      <c r="AL24" s="11"/>
    </row>
    <row r="25" spans="1:38" ht="1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V25" s="91" t="s">
        <v>308</v>
      </c>
      <c r="W25" s="84">
        <f>SUMIFS(Camplist_HH,Camplist_Township,Kashin_Shelter_D!$V25,CampList_Status,"Open")</f>
        <v>535</v>
      </c>
      <c r="X25" s="49">
        <f>SUMIFS(Camplist_Popl,Camplist_Township,Kashin_Shelter_D!$V25,CampList_Status,"Open")</f>
        <v>2153</v>
      </c>
      <c r="Y25" s="102">
        <f>COUNTIFS(Camplist_Township,Kashin_Shelter_D!V25,CampList_Status,"open")</f>
        <v>4</v>
      </c>
      <c r="Z25" s="8"/>
      <c r="AA25" s="71"/>
      <c r="AB25" s="72" t="s">
        <v>844</v>
      </c>
      <c r="AC25" s="43"/>
      <c r="AD25" s="44"/>
      <c r="AE25" s="44"/>
      <c r="AF25" s="44"/>
      <c r="AK25" s="11"/>
      <c r="AL25" s="11"/>
    </row>
    <row r="26" spans="22:38" ht="15">
      <c r="V26" s="91" t="s">
        <v>316</v>
      </c>
      <c r="W26" s="84">
        <f>SUMIFS(Camplist_HH,Camplist_Township,Kashin_Shelter_D!$V26,CampList_Status,"Open")</f>
        <v>5769</v>
      </c>
      <c r="X26" s="49">
        <f>SUMIFS(Camplist_Popl,Camplist_Township,Kashin_Shelter_D!$V26,CampList_Status,"Open")</f>
        <v>26775</v>
      </c>
      <c r="Y26" s="102">
        <f>COUNTIFS(Camplist_Township,Kashin_Shelter_D!V26,CampList_Status,"open")</f>
        <v>25</v>
      </c>
      <c r="Z26" s="8"/>
      <c r="AA26" s="71"/>
      <c r="AB26" s="72"/>
      <c r="AK26" s="11"/>
      <c r="AL26" s="11"/>
    </row>
    <row r="27" spans="1:38" ht="15">
      <c r="A27" s="73"/>
      <c r="B27" s="73"/>
      <c r="C27" s="330"/>
      <c r="D27" s="330"/>
      <c r="E27" s="330"/>
      <c r="F27" s="330"/>
      <c r="G27" s="73"/>
      <c r="H27" s="73"/>
      <c r="I27" s="73"/>
      <c r="V27" s="250" t="s">
        <v>5</v>
      </c>
      <c r="W27" s="253">
        <f>SUM(W8:W26)</f>
        <v>18157.6</v>
      </c>
      <c r="X27" s="253">
        <f>SUM(X8:X26)</f>
        <v>82990</v>
      </c>
      <c r="Y27" s="253">
        <f>SUM(Y8:Y26)</f>
        <v>164</v>
      </c>
      <c r="Z27" s="8"/>
      <c r="AA27" s="71"/>
      <c r="AB27" s="72" t="s">
        <v>845</v>
      </c>
      <c r="AK27" s="11"/>
      <c r="AL27" s="11"/>
    </row>
    <row r="28" spans="1:32" ht="15">
      <c r="A28" s="73"/>
      <c r="B28" s="73"/>
      <c r="C28" s="330"/>
      <c r="D28" s="330"/>
      <c r="E28" s="330"/>
      <c r="F28" s="330"/>
      <c r="G28" s="73"/>
      <c r="H28" s="73"/>
      <c r="I28" s="73"/>
      <c r="V28" s="39"/>
      <c r="W28" s="39"/>
      <c r="X28" s="40"/>
      <c r="Y28" s="42"/>
      <c r="Z28" s="8"/>
      <c r="AA28" s="71"/>
      <c r="AB28" s="72"/>
      <c r="AE28" s="74"/>
      <c r="AF28" s="74"/>
    </row>
    <row r="29" spans="1:31" ht="15">
      <c r="A29" s="73"/>
      <c r="B29" s="73"/>
      <c r="C29" s="330"/>
      <c r="D29" s="330"/>
      <c r="E29" s="330"/>
      <c r="F29" s="330"/>
      <c r="G29" s="73"/>
      <c r="H29" s="73"/>
      <c r="I29" s="73"/>
      <c r="Z29" s="8"/>
      <c r="AA29" s="71"/>
      <c r="AB29" s="72"/>
      <c r="AE29" s="75" t="s">
        <v>846</v>
      </c>
    </row>
    <row r="30" spans="1:34" ht="15">
      <c r="A30" s="73"/>
      <c r="B30" s="73"/>
      <c r="C30" s="330"/>
      <c r="D30" s="330"/>
      <c r="E30" s="330"/>
      <c r="F30" s="330"/>
      <c r="G30" s="73"/>
      <c r="H30" s="73"/>
      <c r="I30" s="73"/>
      <c r="Y30" s="68"/>
      <c r="Z30" s="8"/>
      <c r="AA30" s="71"/>
      <c r="AB30" s="72"/>
      <c r="AE30" s="76" t="s">
        <v>847</v>
      </c>
      <c r="AF30" s="76"/>
      <c r="AG30" s="76"/>
      <c r="AH30" s="77">
        <f>MAX(AJ10:AK15)</f>
        <v>0</v>
      </c>
    </row>
    <row r="31" spans="25:34" ht="15">
      <c r="Y31" s="68"/>
      <c r="Z31" s="8"/>
      <c r="AA31" s="71"/>
      <c r="AB31" s="72" t="s">
        <v>848</v>
      </c>
      <c r="AE31" s="76" t="s">
        <v>849</v>
      </c>
      <c r="AH31" s="38">
        <v>0.9</v>
      </c>
    </row>
    <row r="32" spans="25:34" ht="15">
      <c r="Y32" s="68"/>
      <c r="Z32" s="70"/>
      <c r="AA32" s="71"/>
      <c r="AB32" s="72" t="s">
        <v>850</v>
      </c>
      <c r="AE32" s="76" t="s">
        <v>851</v>
      </c>
      <c r="AH32" s="38">
        <v>8</v>
      </c>
    </row>
    <row r="33" spans="22:34" ht="15">
      <c r="V33" s="45" t="s">
        <v>1</v>
      </c>
      <c r="W33" s="91" t="s">
        <v>841</v>
      </c>
      <c r="X33" s="91" t="s">
        <v>977</v>
      </c>
      <c r="Y33" s="68"/>
      <c r="Z33" s="70"/>
      <c r="AA33" s="71"/>
      <c r="AB33" s="72" t="s">
        <v>853</v>
      </c>
      <c r="AE33" s="76"/>
      <c r="AH33" s="38"/>
    </row>
    <row r="34" spans="22:31" ht="15">
      <c r="V34" s="45" t="s">
        <v>7</v>
      </c>
      <c r="W34" s="249">
        <f>Shelter_Progress!L22</f>
        <v>1378.71473354232</v>
      </c>
      <c r="X34" s="248">
        <f>Shelter_Progress!O22</f>
        <v>4389.28526645768</v>
      </c>
      <c r="Y34" s="68"/>
      <c r="Z34" s="70"/>
      <c r="AA34" s="71"/>
      <c r="AB34" s="72" t="s">
        <v>853</v>
      </c>
      <c r="AE34" s="76" t="s">
        <v>854</v>
      </c>
    </row>
    <row r="35" spans="22:28" ht="15">
      <c r="V35" s="45" t="s">
        <v>29</v>
      </c>
      <c r="W35" s="249">
        <f>Shelter_Progress!L23</f>
        <v>713.4171907756813</v>
      </c>
      <c r="X35" s="248">
        <f>Shelter_Progress!O23</f>
        <v>116.58280922431868</v>
      </c>
      <c r="Y35" s="68"/>
      <c r="Z35" s="70"/>
      <c r="AA35" s="71"/>
      <c r="AB35" s="72" t="s">
        <v>855</v>
      </c>
    </row>
    <row r="36" spans="22:28" ht="15">
      <c r="V36" s="45" t="s">
        <v>41</v>
      </c>
      <c r="W36" s="249">
        <f>Shelter_Progress!L24</f>
        <v>0</v>
      </c>
      <c r="X36" s="248">
        <f>Shelter_Progress!O24</f>
        <v>5872</v>
      </c>
      <c r="Y36" s="68"/>
      <c r="Z36" s="70"/>
      <c r="AA36" s="71"/>
      <c r="AB36" s="72" t="s">
        <v>856</v>
      </c>
    </row>
    <row r="37" spans="22:28" ht="15">
      <c r="V37" s="45" t="s">
        <v>412</v>
      </c>
      <c r="W37" s="249">
        <f>Shelter_Progress!L25</f>
        <v>0</v>
      </c>
      <c r="X37" s="248">
        <f>Shelter_Progress!O25</f>
        <v>0</v>
      </c>
      <c r="Y37" s="70"/>
      <c r="Z37" s="70"/>
      <c r="AA37" s="71"/>
      <c r="AB37" s="72" t="s">
        <v>857</v>
      </c>
    </row>
    <row r="38" spans="22:28" ht="15">
      <c r="V38" s="45" t="s">
        <v>148</v>
      </c>
      <c r="W38" s="249">
        <f>Shelter_Progress!L26</f>
        <v>0</v>
      </c>
      <c r="X38" s="248">
        <f>Shelter_Progress!O26</f>
        <v>107</v>
      </c>
      <c r="Y38" s="70"/>
      <c r="Z38" s="70"/>
      <c r="AA38" s="71"/>
      <c r="AB38" s="72" t="s">
        <v>858</v>
      </c>
    </row>
    <row r="39" spans="22:28" ht="15">
      <c r="V39" s="45" t="s">
        <v>150</v>
      </c>
      <c r="W39" s="249">
        <f>Shelter_Progress!L27</f>
        <v>0</v>
      </c>
      <c r="X39" s="248">
        <f>Shelter_Progress!O27</f>
        <v>571</v>
      </c>
      <c r="Y39" s="70"/>
      <c r="Z39" s="70"/>
      <c r="AA39" s="71"/>
      <c r="AB39" s="72" t="s">
        <v>858</v>
      </c>
    </row>
    <row r="40" spans="22:28" ht="15">
      <c r="V40" s="45" t="s">
        <v>155</v>
      </c>
      <c r="W40" s="249">
        <f>Shelter_Progress!L28</f>
        <v>2909.0135135135133</v>
      </c>
      <c r="X40" s="248">
        <f>Shelter_Progress!O28</f>
        <v>4376.986486486487</v>
      </c>
      <c r="Y40" s="70"/>
      <c r="Z40" s="39"/>
      <c r="AA40" s="39"/>
      <c r="AB40" s="39"/>
    </row>
    <row r="41" spans="22:28" ht="15">
      <c r="V41" s="45" t="s">
        <v>170</v>
      </c>
      <c r="W41" s="249">
        <f>Shelter_Progress!L29</f>
        <v>93.94017534811759</v>
      </c>
      <c r="X41" s="248">
        <f>Shelter_Progress!O29</f>
        <v>166.05982465188242</v>
      </c>
      <c r="Y41" s="70"/>
      <c r="Z41" s="39"/>
      <c r="AA41" s="39"/>
      <c r="AB41" s="39"/>
    </row>
    <row r="42" spans="22:28" ht="15">
      <c r="V42" s="45" t="s">
        <v>177</v>
      </c>
      <c r="W42" s="249">
        <f>Shelter_Progress!L30</f>
        <v>215.8490566037736</v>
      </c>
      <c r="X42" s="248">
        <f>Shelter_Progress!O30</f>
        <v>0</v>
      </c>
      <c r="Y42" s="70"/>
      <c r="Z42" s="39"/>
      <c r="AA42" s="39"/>
      <c r="AB42" s="39"/>
    </row>
    <row r="43" spans="22:28" ht="15">
      <c r="V43" s="45" t="s">
        <v>184</v>
      </c>
      <c r="W43" s="249">
        <f>Shelter_Progress!L31</f>
        <v>83.55555555555556</v>
      </c>
      <c r="X43" s="248">
        <f>Shelter_Progress!O31</f>
        <v>59.44444444444444</v>
      </c>
      <c r="Y43" s="70"/>
      <c r="Z43" s="39"/>
      <c r="AA43" s="39"/>
      <c r="AB43" s="39"/>
    </row>
    <row r="44" spans="22:28" ht="15">
      <c r="V44" s="91" t="s">
        <v>189</v>
      </c>
      <c r="W44" s="249">
        <f>Shelter_Progress!L32</f>
        <v>5084.911764705883</v>
      </c>
      <c r="X44" s="248">
        <f>Shelter_Progress!O32</f>
        <v>19952.08823529412</v>
      </c>
      <c r="Y44" s="70"/>
      <c r="Z44" s="39"/>
      <c r="AA44" s="39"/>
      <c r="AB44" s="39"/>
    </row>
    <row r="45" spans="22:28" ht="15">
      <c r="V45" s="91" t="s">
        <v>432</v>
      </c>
      <c r="W45" s="249">
        <f>Shelter_Progress!L33</f>
        <v>0</v>
      </c>
      <c r="X45" s="248">
        <f>Shelter_Progress!O33</f>
        <v>0</v>
      </c>
      <c r="Y45" s="39"/>
      <c r="Z45" s="39"/>
      <c r="AA45" s="39"/>
      <c r="AB45" s="39"/>
    </row>
    <row r="46" spans="22:28" ht="15">
      <c r="V46" s="91" t="s">
        <v>234</v>
      </c>
      <c r="W46" s="249">
        <f>Shelter_Progress!L34</f>
        <v>0</v>
      </c>
      <c r="X46" s="248">
        <f>Shelter_Progress!O34</f>
        <v>882</v>
      </c>
      <c r="Y46" s="39"/>
      <c r="Z46" s="39"/>
      <c r="AA46" s="39"/>
      <c r="AB46" s="39"/>
    </row>
    <row r="47" spans="22:28" ht="15">
      <c r="V47" s="91" t="s">
        <v>241</v>
      </c>
      <c r="W47" s="249">
        <f>Shelter_Progress!L35</f>
        <v>5224.153846153846</v>
      </c>
      <c r="X47" s="248">
        <f>Shelter_Progress!O35</f>
        <v>1255.8461538461543</v>
      </c>
      <c r="Y47" s="39"/>
      <c r="Z47" s="39"/>
      <c r="AA47" s="39"/>
      <c r="AB47" s="39"/>
    </row>
    <row r="48" spans="22:28" ht="15">
      <c r="V48" s="91" t="s">
        <v>294</v>
      </c>
      <c r="W48" s="249">
        <f>Shelter_Progress!L36</f>
        <v>713.9748953974895</v>
      </c>
      <c r="X48" s="248">
        <f>Shelter_Progress!O36</f>
        <v>653.0251046025105</v>
      </c>
      <c r="Y48" s="40"/>
      <c r="Z48" s="39"/>
      <c r="AA48" s="39"/>
      <c r="AB48" s="39"/>
    </row>
    <row r="49" spans="22:28" ht="15">
      <c r="V49" s="91" t="s">
        <v>303</v>
      </c>
      <c r="W49" s="249">
        <f>Shelter_Progress!L37</f>
        <v>48.13380281690141</v>
      </c>
      <c r="X49" s="248">
        <f>Shelter_Progress!O37</f>
        <v>25.866197183098592</v>
      </c>
      <c r="Y49" s="79"/>
      <c r="Z49" s="39"/>
      <c r="AA49" s="39"/>
      <c r="AB49" s="39"/>
    </row>
    <row r="50" spans="22:28" ht="15">
      <c r="V50" s="91" t="s">
        <v>306</v>
      </c>
      <c r="W50" s="249">
        <f>Shelter_Progress!L38</f>
        <v>0</v>
      </c>
      <c r="X50" s="248">
        <f>Shelter_Progress!O38</f>
        <v>0</v>
      </c>
      <c r="Y50" s="79"/>
      <c r="Z50" s="39"/>
      <c r="AA50" s="39"/>
      <c r="AB50" s="39"/>
    </row>
    <row r="51" spans="22:25" ht="15">
      <c r="V51" s="91" t="s">
        <v>308</v>
      </c>
      <c r="W51" s="249">
        <f>Shelter_Progress!L39</f>
        <v>150</v>
      </c>
      <c r="X51" s="248">
        <f>Shelter_Progress!O39</f>
        <v>2003</v>
      </c>
      <c r="Y51" s="79"/>
    </row>
    <row r="52" spans="22:25" ht="15">
      <c r="V52" s="91" t="s">
        <v>316</v>
      </c>
      <c r="W52" s="249">
        <f>Shelter_Progress!L40</f>
        <v>8253.83738317757</v>
      </c>
      <c r="X52" s="248">
        <f>Shelter_Progress!O40</f>
        <v>18521.162616822432</v>
      </c>
      <c r="Y52" s="39"/>
    </row>
    <row r="53" spans="22:25" ht="15">
      <c r="V53" s="250" t="s">
        <v>5</v>
      </c>
      <c r="W53" s="251">
        <f>SUM(W34:W52)</f>
        <v>24869.50191759065</v>
      </c>
      <c r="X53" s="252">
        <f>SUM(X34:X52)</f>
        <v>58951.34713901312</v>
      </c>
      <c r="Y53" s="39"/>
    </row>
    <row r="54" ht="15">
      <c r="Y54" s="39"/>
    </row>
    <row r="55" spans="23:25" ht="15">
      <c r="W55" s="238" t="s">
        <v>852</v>
      </c>
      <c r="Y55" s="39"/>
    </row>
    <row r="56" spans="22:23" ht="15">
      <c r="V56" s="68" t="s">
        <v>841</v>
      </c>
      <c r="W56" s="78">
        <f>W53</f>
        <v>24869.50191759065</v>
      </c>
    </row>
    <row r="57" spans="22:23" ht="15">
      <c r="V57" s="68" t="s">
        <v>842</v>
      </c>
      <c r="W57" s="78">
        <f>X53</f>
        <v>58951.34713901312</v>
      </c>
    </row>
    <row r="58" spans="22:24" ht="15">
      <c r="V58" s="39"/>
      <c r="W58" s="70"/>
      <c r="X58" s="39"/>
    </row>
    <row r="59" spans="22:24" ht="15">
      <c r="V59" s="39"/>
      <c r="W59" s="70"/>
      <c r="X59" s="39"/>
    </row>
    <row r="60" spans="22:24" ht="15">
      <c r="V60" s="39"/>
      <c r="W60" s="70"/>
      <c r="X60" s="39"/>
    </row>
    <row r="61" spans="22:24" ht="15">
      <c r="V61" s="39"/>
      <c r="W61" s="39"/>
      <c r="X61" s="39"/>
    </row>
    <row r="62" spans="23:24" ht="15">
      <c r="W62" s="39"/>
      <c r="X62" s="39"/>
    </row>
    <row r="63" spans="23:24" ht="15">
      <c r="W63" s="39"/>
      <c r="X63" s="39"/>
    </row>
    <row r="64" spans="23:24" ht="15">
      <c r="W64" s="39"/>
      <c r="X64" s="39"/>
    </row>
    <row r="91" ht="19.5">
      <c r="W91" s="82"/>
    </row>
    <row r="92" ht="15.75">
      <c r="W92" s="83"/>
    </row>
    <row r="93" ht="15.75">
      <c r="W93" s="83"/>
    </row>
    <row r="94" spans="31:33" ht="15">
      <c r="AE94" s="38"/>
      <c r="AF94" s="38"/>
      <c r="AG94" s="38"/>
    </row>
    <row r="95" spans="31:32" ht="15">
      <c r="AE95" s="38"/>
      <c r="AF95" s="38"/>
    </row>
    <row r="96" spans="31:32" ht="15">
      <c r="AE96" s="38"/>
      <c r="AF96" s="38"/>
    </row>
  </sheetData>
  <mergeCells count="41">
    <mergeCell ref="AH9:AI9"/>
    <mergeCell ref="A3:C3"/>
    <mergeCell ref="V6:V7"/>
    <mergeCell ref="W6:W7"/>
    <mergeCell ref="X6:X7"/>
    <mergeCell ref="Y6:Y7"/>
    <mergeCell ref="AH10:AI10"/>
    <mergeCell ref="C11:E11"/>
    <mergeCell ref="F11:G11"/>
    <mergeCell ref="AH11:AI11"/>
    <mergeCell ref="C12:E12"/>
    <mergeCell ref="F12:G12"/>
    <mergeCell ref="AH12:AI12"/>
    <mergeCell ref="C17:E17"/>
    <mergeCell ref="F17:G17"/>
    <mergeCell ref="C13:E13"/>
    <mergeCell ref="F13:G13"/>
    <mergeCell ref="AH13:AI13"/>
    <mergeCell ref="C14:E14"/>
    <mergeCell ref="F14:G14"/>
    <mergeCell ref="AH14:AI14"/>
    <mergeCell ref="C15:E15"/>
    <mergeCell ref="F15:G15"/>
    <mergeCell ref="AH15:AI15"/>
    <mergeCell ref="C16:E16"/>
    <mergeCell ref="F16:G16"/>
    <mergeCell ref="C18:E18"/>
    <mergeCell ref="F18:G18"/>
    <mergeCell ref="C19:E19"/>
    <mergeCell ref="F19:G19"/>
    <mergeCell ref="C20:E20"/>
    <mergeCell ref="F20:G20"/>
    <mergeCell ref="C30:D30"/>
    <mergeCell ref="E30:F30"/>
    <mergeCell ref="A21:G21"/>
    <mergeCell ref="C27:D27"/>
    <mergeCell ref="E27:F27"/>
    <mergeCell ref="C28:D28"/>
    <mergeCell ref="E28:F28"/>
    <mergeCell ref="C29:D29"/>
    <mergeCell ref="E29:F29"/>
  </mergeCells>
  <printOptions/>
  <pageMargins left="0.25" right="0.25" top="0.75" bottom="0.75" header="0.3" footer="0.3"/>
  <pageSetup fitToWidth="0" fitToHeight="1" horizontalDpi="1200" verticalDpi="1200" orientation="landscape" paperSize="9" scale="68" r:id="rId3"/>
  <rowBreaks count="1" manualBreakCount="1">
    <brk id="50" max="16383" man="1"/>
  </rowBreak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37889" r:id="rId4" name="Button 1">
              <controlPr defaultSize="0" print="0" autoFill="0" autoPict="0" macro="[4]!ThisWorkbook.Example2_Click" altText="Calculate">
                <anchor moveWithCells="1" sizeWithCells="1">
                  <from>
                    <xdr:col>35</xdr:col>
                    <xdr:colOff>247650</xdr:colOff>
                    <xdr:row>28</xdr:row>
                    <xdr:rowOff>142875</xdr:rowOff>
                  </from>
                  <to>
                    <xdr:col>39</xdr:col>
                    <xdr:colOff>47625</xdr:colOff>
                    <xdr:row>32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G997"/>
  <sheetViews>
    <sheetView showZeros="0" zoomScale="60" zoomScaleNormal="60" workbookViewId="0" topLeftCell="A1">
      <selection activeCell="AD20" sqref="AD20"/>
    </sheetView>
  </sheetViews>
  <sheetFormatPr defaultColWidth="11.140625" defaultRowHeight="15"/>
  <cols>
    <col min="1" max="1" width="7.8515625" style="125" customWidth="1"/>
    <col min="3" max="3" width="24.28125" style="0" customWidth="1"/>
    <col min="4" max="4" width="22.140625" style="0" customWidth="1"/>
    <col min="7" max="7" width="30.57421875" style="0" customWidth="1"/>
    <col min="8" max="8" width="9.57421875" style="0" customWidth="1"/>
    <col min="9" max="9" width="8.140625" style="0" customWidth="1"/>
    <col min="10" max="10" width="9.00390625" style="0" customWidth="1"/>
    <col min="11" max="14" width="6.57421875" style="0" customWidth="1"/>
    <col min="15" max="15" width="6.7109375" style="0" bestFit="1" customWidth="1"/>
    <col min="16" max="23" width="8.421875" style="177" hidden="1" customWidth="1"/>
  </cols>
  <sheetData>
    <row r="1" spans="1:59" s="2" customFormat="1" ht="36">
      <c r="A1" s="282"/>
      <c r="B1" s="282"/>
      <c r="C1" s="282"/>
      <c r="D1" s="282"/>
      <c r="E1" s="282"/>
      <c r="F1" s="282"/>
      <c r="G1" s="282"/>
      <c r="H1" s="282"/>
      <c r="I1" s="297">
        <f>NFISummary!P1</f>
        <v>1</v>
      </c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181"/>
      <c r="U1" s="181"/>
      <c r="BF1" s="283"/>
      <c r="BG1" s="283"/>
    </row>
    <row r="2" spans="1:59" s="2" customFormat="1" ht="36">
      <c r="A2" s="282" t="s">
        <v>830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34"/>
      <c r="U2" s="181"/>
      <c r="BF2" s="283"/>
      <c r="BG2" s="283"/>
    </row>
    <row r="3" spans="1:59" s="39" customFormat="1" ht="18" customHeight="1">
      <c r="A3" s="328" t="str">
        <f>Report_Date</f>
        <v>Juin 2013</v>
      </c>
      <c r="B3" s="328"/>
      <c r="C3" s="328"/>
      <c r="D3" s="182"/>
      <c r="E3" s="182"/>
      <c r="F3" s="182"/>
      <c r="G3" s="182"/>
      <c r="H3" s="182"/>
      <c r="I3" s="182"/>
      <c r="J3" s="182"/>
      <c r="L3" s="182"/>
      <c r="M3" s="182"/>
      <c r="N3" s="182"/>
      <c r="O3" s="182"/>
      <c r="P3" s="182"/>
      <c r="Q3" s="182"/>
      <c r="R3" s="182"/>
      <c r="S3" s="284"/>
      <c r="T3" s="182"/>
      <c r="U3" s="182"/>
      <c r="BF3" s="284"/>
      <c r="BG3" s="284"/>
    </row>
    <row r="4" spans="1:59" s="39" customFormat="1" ht="18" customHeight="1">
      <c r="A4" s="328"/>
      <c r="B4" s="328"/>
      <c r="C4" s="328"/>
      <c r="D4" s="182"/>
      <c r="E4" s="182"/>
      <c r="F4" s="182"/>
      <c r="G4" s="182"/>
      <c r="H4" s="182"/>
      <c r="I4" s="182"/>
      <c r="J4" s="182"/>
      <c r="L4" s="182"/>
      <c r="M4" s="182"/>
      <c r="N4" s="182"/>
      <c r="O4" s="182"/>
      <c r="P4" s="182"/>
      <c r="Q4" s="182"/>
      <c r="R4" s="182"/>
      <c r="S4" s="284"/>
      <c r="T4" s="182"/>
      <c r="U4" s="182"/>
      <c r="BF4" s="284"/>
      <c r="BG4" s="284"/>
    </row>
    <row r="5" spans="1:23" s="174" customFormat="1" ht="86.25" customHeight="1">
      <c r="A5" s="4" t="s">
        <v>835</v>
      </c>
      <c r="B5" s="4" t="s">
        <v>807</v>
      </c>
      <c r="C5" s="4" t="s">
        <v>797</v>
      </c>
      <c r="D5" s="4" t="s">
        <v>808</v>
      </c>
      <c r="E5" s="4" t="s">
        <v>451</v>
      </c>
      <c r="F5" s="4" t="s">
        <v>1</v>
      </c>
      <c r="G5" s="4" t="s">
        <v>450</v>
      </c>
      <c r="H5" s="175" t="s">
        <v>984</v>
      </c>
      <c r="I5" s="175" t="s">
        <v>799</v>
      </c>
      <c r="J5" s="175" t="s">
        <v>985</v>
      </c>
      <c r="K5" s="175" t="s">
        <v>986</v>
      </c>
      <c r="L5" s="175" t="s">
        <v>987</v>
      </c>
      <c r="M5" s="175" t="s">
        <v>831</v>
      </c>
      <c r="N5" s="175" t="s">
        <v>832</v>
      </c>
      <c r="O5" s="175" t="s">
        <v>1026</v>
      </c>
      <c r="P5" s="178" t="s">
        <v>1031</v>
      </c>
      <c r="Q5" s="178" t="s">
        <v>1032</v>
      </c>
      <c r="R5" s="178" t="s">
        <v>1033</v>
      </c>
      <c r="S5" s="178" t="s">
        <v>1034</v>
      </c>
      <c r="T5" s="178" t="s">
        <v>1035</v>
      </c>
      <c r="U5" s="178" t="s">
        <v>1036</v>
      </c>
      <c r="V5" s="178" t="s">
        <v>1037</v>
      </c>
      <c r="W5" s="178" t="s">
        <v>1038</v>
      </c>
    </row>
    <row r="6" spans="1:23" s="238" customFormat="1" ht="15">
      <c r="A6" s="125">
        <f aca="true" t="shared" si="0" ref="A6:A23">IF(ISBLANK(B6),"",(TODAY()-B6)/30)</f>
        <v>9.166666666666666</v>
      </c>
      <c r="B6" s="190">
        <v>41407</v>
      </c>
      <c r="C6" s="127" t="s">
        <v>960</v>
      </c>
      <c r="D6" s="128"/>
      <c r="E6" s="128" t="s">
        <v>433</v>
      </c>
      <c r="F6" s="91" t="s">
        <v>7</v>
      </c>
      <c r="G6" s="91" t="s">
        <v>1274</v>
      </c>
      <c r="H6" s="91"/>
      <c r="I6" s="171"/>
      <c r="J6" s="171">
        <v>132</v>
      </c>
      <c r="K6" s="171">
        <v>73</v>
      </c>
      <c r="L6" s="171">
        <v>33</v>
      </c>
      <c r="M6" s="173">
        <v>73</v>
      </c>
      <c r="N6" s="171">
        <v>33</v>
      </c>
      <c r="O6" s="171">
        <v>33</v>
      </c>
      <c r="P6" s="179">
        <f ca="1">IF(NFI_Expiration=1,IF($A6&lt;VLOOKUP(H$5,NFI,5,0),1,0)*Table_NFI[[#This Row],[Hygiene Kit]],Table_NFI[[#This Row],[Hygiene Kit]])</f>
        <v>0</v>
      </c>
      <c r="Q6" s="179">
        <f ca="1">IF(NFI_Expiration=1,IF($A6&lt;VLOOKUP(I$5,NFI,5,0),1,0)*Table_NFI[[#This Row],[NFI Core Kit]],Table_NFI[[#This Row],[NFI Core Kit]])</f>
        <v>0</v>
      </c>
      <c r="R6" s="179">
        <f ca="1">IF(NFI_Expiration=1,IF($A6&lt;VLOOKUP(J$5,NFI,5,0),1,0)*Table_NFI[[#This Row],[Sanitary Kit]],Table_NFI[[#This Row],[Sanitary Kit]])</f>
        <v>0</v>
      </c>
      <c r="S6" s="179">
        <f ca="1">IF(NFI_Expiration=1,IF($A6&lt;VLOOKUP(K$5,NFI,5,0),1,0)*Table_NFI[[#This Row],[Mosquitoe net]],Table_NFI[[#This Row],[Mosquitoe net]])</f>
        <v>0</v>
      </c>
      <c r="T6" s="179">
        <f ca="1">IF(NFI_Expiration=1,IF($A6&lt;VLOOKUP(L$5,NFI,5,0),1,0)*Table_NFI[[#This Row],[Tarpaulin]],Table_NFI[[#This Row],[Tarpaulin]])</f>
        <v>0</v>
      </c>
      <c r="U6" s="179">
        <f ca="1">IF(NFI_Expiration=1,IF($A6&lt;VLOOKUP(M$5,NFI,5,0),1,0)*Table_NFI[[#This Row],[Blanket]],Table_NFI[[#This Row],[Blanket]])</f>
        <v>0</v>
      </c>
      <c r="V6" s="179">
        <f ca="1">IF(NFI_Expiration=1,IF($A6&lt;VLOOKUP(N$5,NFI,5,0),1,0)*Table_NFI[[#This Row],[Kitchen Set]],Table_NFI[[#This Row],[Kitchen Set]])</f>
        <v>0</v>
      </c>
      <c r="W6" s="179">
        <f ca="1">IF(NFI_Expiration=1,IF($A6&lt;VLOOKUP(O$5,NFI,5,0),1,0)*Table_NFI[[#This Row],[Complementary Kit]],Table_NFI[[#This Row],[Complementary Kit]])</f>
        <v>0</v>
      </c>
    </row>
    <row r="7" spans="1:23" s="238" customFormat="1" ht="15">
      <c r="A7" s="125">
        <f ca="1" t="shared" si="0"/>
        <v>9.166666666666666</v>
      </c>
      <c r="B7" s="190">
        <v>41407</v>
      </c>
      <c r="C7" s="127" t="s">
        <v>960</v>
      </c>
      <c r="D7" s="128"/>
      <c r="E7" s="128" t="s">
        <v>433</v>
      </c>
      <c r="F7" s="91" t="s">
        <v>7</v>
      </c>
      <c r="G7" s="91" t="s">
        <v>1275</v>
      </c>
      <c r="H7" s="91"/>
      <c r="I7" s="171"/>
      <c r="J7" s="171">
        <v>92</v>
      </c>
      <c r="K7" s="171">
        <v>50</v>
      </c>
      <c r="L7" s="171">
        <v>23</v>
      </c>
      <c r="M7" s="173">
        <v>50</v>
      </c>
      <c r="N7" s="171">
        <v>23</v>
      </c>
      <c r="O7" s="171">
        <v>23</v>
      </c>
      <c r="P7" s="179">
        <f ca="1">IF(NFI_Expiration=1,IF($A7&lt;VLOOKUP(H$5,NFI,5,0),1,0)*Table_NFI[[#This Row],[Hygiene Kit]],Table_NFI[[#This Row],[Hygiene Kit]])</f>
        <v>0</v>
      </c>
      <c r="Q7" s="179">
        <f ca="1">IF(NFI_Expiration=1,IF($A7&lt;VLOOKUP(I$5,NFI,5,0),1,0)*Table_NFI[[#This Row],[NFI Core Kit]],Table_NFI[[#This Row],[NFI Core Kit]])</f>
        <v>0</v>
      </c>
      <c r="R7" s="179">
        <f ca="1">IF(NFI_Expiration=1,IF($A7&lt;VLOOKUP(J$5,NFI,5,0),1,0)*Table_NFI[[#This Row],[Sanitary Kit]],Table_NFI[[#This Row],[Sanitary Kit]])</f>
        <v>0</v>
      </c>
      <c r="S7" s="179">
        <f ca="1">IF(NFI_Expiration=1,IF($A7&lt;VLOOKUP(K$5,NFI,5,0),1,0)*Table_NFI[[#This Row],[Mosquitoe net]],Table_NFI[[#This Row],[Mosquitoe net]])</f>
        <v>0</v>
      </c>
      <c r="T7" s="179">
        <f ca="1">IF(NFI_Expiration=1,IF($A7&lt;VLOOKUP(L$5,NFI,5,0),1,0)*Table_NFI[[#This Row],[Tarpaulin]],Table_NFI[[#This Row],[Tarpaulin]])</f>
        <v>0</v>
      </c>
      <c r="U7" s="179">
        <f ca="1">IF(NFI_Expiration=1,IF($A7&lt;VLOOKUP(M$5,NFI,5,0),1,0)*Table_NFI[[#This Row],[Blanket]],Table_NFI[[#This Row],[Blanket]])</f>
        <v>0</v>
      </c>
      <c r="V7" s="179">
        <f ca="1">IF(NFI_Expiration=1,IF($A7&lt;VLOOKUP(N$5,NFI,5,0),1,0)*Table_NFI[[#This Row],[Kitchen Set]],Table_NFI[[#This Row],[Kitchen Set]])</f>
        <v>0</v>
      </c>
      <c r="W7" s="179">
        <f ca="1">IF(NFI_Expiration=1,IF($A7&lt;VLOOKUP(O$5,NFI,5,0),1,0)*Table_NFI[[#This Row],[Complementary Kit]],Table_NFI[[#This Row],[Complementary Kit]])</f>
        <v>0</v>
      </c>
    </row>
    <row r="8" spans="1:23" s="238" customFormat="1" ht="15">
      <c r="A8" s="125">
        <f ca="1" t="shared" si="0"/>
        <v>8.866666666666667</v>
      </c>
      <c r="B8" s="115">
        <v>41416</v>
      </c>
      <c r="C8" s="127" t="s">
        <v>960</v>
      </c>
      <c r="D8" s="128"/>
      <c r="E8" s="128" t="s">
        <v>433</v>
      </c>
      <c r="F8" s="299" t="s">
        <v>29</v>
      </c>
      <c r="G8" s="128" t="s">
        <v>30</v>
      </c>
      <c r="H8" s="128"/>
      <c r="I8" s="300"/>
      <c r="J8" s="300">
        <v>80</v>
      </c>
      <c r="K8" s="300">
        <v>84</v>
      </c>
      <c r="L8" s="300">
        <v>41</v>
      </c>
      <c r="M8" s="300">
        <v>84</v>
      </c>
      <c r="N8" s="300">
        <v>41</v>
      </c>
      <c r="O8" s="300">
        <v>41</v>
      </c>
      <c r="P8" s="179">
        <f ca="1">IF(NFI_Expiration=1,IF($A8&lt;VLOOKUP(H$5,NFI,5,0),1,0)*Table_NFI[[#This Row],[Hygiene Kit]],Table_NFI[[#This Row],[Hygiene Kit]])</f>
        <v>0</v>
      </c>
      <c r="Q8" s="179">
        <f ca="1">IF(NFI_Expiration=1,IF($A8&lt;VLOOKUP(I$5,NFI,5,0),1,0)*Table_NFI[[#This Row],[NFI Core Kit]],Table_NFI[[#This Row],[NFI Core Kit]])</f>
        <v>0</v>
      </c>
      <c r="R8" s="179">
        <f ca="1">IF(NFI_Expiration=1,IF($A8&lt;VLOOKUP(J$5,NFI,5,0),1,0)*Table_NFI[[#This Row],[Sanitary Kit]],Table_NFI[[#This Row],[Sanitary Kit]])</f>
        <v>0</v>
      </c>
      <c r="S8" s="179">
        <f ca="1">IF(NFI_Expiration=1,IF($A8&lt;VLOOKUP(K$5,NFI,5,0),1,0)*Table_NFI[[#This Row],[Mosquitoe net]],Table_NFI[[#This Row],[Mosquitoe net]])</f>
        <v>0</v>
      </c>
      <c r="T8" s="179">
        <f ca="1">IF(NFI_Expiration=1,IF($A8&lt;VLOOKUP(L$5,NFI,5,0),1,0)*Table_NFI[[#This Row],[Tarpaulin]],Table_NFI[[#This Row],[Tarpaulin]])</f>
        <v>0</v>
      </c>
      <c r="U8" s="179">
        <f ca="1">IF(NFI_Expiration=1,IF($A8&lt;VLOOKUP(M$5,NFI,5,0),1,0)*Table_NFI[[#This Row],[Blanket]],Table_NFI[[#This Row],[Blanket]])</f>
        <v>0</v>
      </c>
      <c r="V8" s="179">
        <f ca="1">IF(NFI_Expiration=1,IF($A8&lt;VLOOKUP(N$5,NFI,5,0),1,0)*Table_NFI[[#This Row],[Kitchen Set]],Table_NFI[[#This Row],[Kitchen Set]])</f>
        <v>0</v>
      </c>
      <c r="W8" s="179">
        <f ca="1">IF(NFI_Expiration=1,IF($A8&lt;VLOOKUP(O$5,NFI,5,0),1,0)*Table_NFI[[#This Row],[Complementary Kit]],Table_NFI[[#This Row],[Complementary Kit]])</f>
        <v>0</v>
      </c>
    </row>
    <row r="9" spans="1:23" s="238" customFormat="1" ht="15">
      <c r="A9" s="125">
        <f ca="1" t="shared" si="0"/>
        <v>8.866666666666667</v>
      </c>
      <c r="B9" s="115">
        <v>41416</v>
      </c>
      <c r="C9" s="127" t="s">
        <v>960</v>
      </c>
      <c r="D9" s="128"/>
      <c r="E9" s="128" t="s">
        <v>433</v>
      </c>
      <c r="F9" s="243" t="s">
        <v>41</v>
      </c>
      <c r="G9" s="128" t="s">
        <v>114</v>
      </c>
      <c r="H9" s="128"/>
      <c r="I9" s="300"/>
      <c r="J9" s="300">
        <v>273</v>
      </c>
      <c r="K9" s="300">
        <v>339</v>
      </c>
      <c r="L9" s="300">
        <v>151</v>
      </c>
      <c r="M9" s="300">
        <v>339</v>
      </c>
      <c r="N9" s="300">
        <v>151</v>
      </c>
      <c r="O9" s="300">
        <v>151</v>
      </c>
      <c r="P9" s="179">
        <f ca="1">IF(NFI_Expiration=1,IF($A9&lt;VLOOKUP(H$5,NFI,5,0),1,0)*Table_NFI[[#This Row],[Hygiene Kit]],Table_NFI[[#This Row],[Hygiene Kit]])</f>
        <v>0</v>
      </c>
      <c r="Q9" s="179">
        <f ca="1">IF(NFI_Expiration=1,IF($A9&lt;VLOOKUP(I$5,NFI,5,0),1,0)*Table_NFI[[#This Row],[NFI Core Kit]],Table_NFI[[#This Row],[NFI Core Kit]])</f>
        <v>0</v>
      </c>
      <c r="R9" s="179">
        <f ca="1">IF(NFI_Expiration=1,IF($A9&lt;VLOOKUP(J$5,NFI,5,0),1,0)*Table_NFI[[#This Row],[Sanitary Kit]],Table_NFI[[#This Row],[Sanitary Kit]])</f>
        <v>0</v>
      </c>
      <c r="S9" s="179">
        <f ca="1">IF(NFI_Expiration=1,IF($A9&lt;VLOOKUP(K$5,NFI,5,0),1,0)*Table_NFI[[#This Row],[Mosquitoe net]],Table_NFI[[#This Row],[Mosquitoe net]])</f>
        <v>0</v>
      </c>
      <c r="T9" s="179">
        <f ca="1">IF(NFI_Expiration=1,IF($A9&lt;VLOOKUP(L$5,NFI,5,0),1,0)*Table_NFI[[#This Row],[Tarpaulin]],Table_NFI[[#This Row],[Tarpaulin]])</f>
        <v>0</v>
      </c>
      <c r="U9" s="179">
        <f ca="1">IF(NFI_Expiration=1,IF($A9&lt;VLOOKUP(M$5,NFI,5,0),1,0)*Table_NFI[[#This Row],[Blanket]],Table_NFI[[#This Row],[Blanket]])</f>
        <v>0</v>
      </c>
      <c r="V9" s="179">
        <f ca="1">IF(NFI_Expiration=1,IF($A9&lt;VLOOKUP(N$5,NFI,5,0),1,0)*Table_NFI[[#This Row],[Kitchen Set]],Table_NFI[[#This Row],[Kitchen Set]])</f>
        <v>0</v>
      </c>
      <c r="W9" s="179">
        <f ca="1">IF(NFI_Expiration=1,IF($A9&lt;VLOOKUP(O$5,NFI,5,0),1,0)*Table_NFI[[#This Row],[Complementary Kit]],Table_NFI[[#This Row],[Complementary Kit]])</f>
        <v>0</v>
      </c>
    </row>
    <row r="10" spans="1:23" s="238" customFormat="1" ht="15">
      <c r="A10" s="125">
        <f ca="1" t="shared" si="0"/>
        <v>8.866666666666667</v>
      </c>
      <c r="B10" s="115">
        <v>41416</v>
      </c>
      <c r="C10" s="127" t="s">
        <v>960</v>
      </c>
      <c r="D10" s="128"/>
      <c r="E10" s="128" t="s">
        <v>433</v>
      </c>
      <c r="F10" s="243" t="s">
        <v>41</v>
      </c>
      <c r="G10" s="128" t="s">
        <v>144</v>
      </c>
      <c r="H10" s="128"/>
      <c r="I10" s="300"/>
      <c r="J10" s="300">
        <v>42</v>
      </c>
      <c r="K10" s="300">
        <v>66</v>
      </c>
      <c r="L10" s="300">
        <v>28</v>
      </c>
      <c r="M10" s="300">
        <v>66</v>
      </c>
      <c r="N10" s="300">
        <v>28</v>
      </c>
      <c r="O10" s="300">
        <v>28</v>
      </c>
      <c r="P10" s="179">
        <f ca="1">IF(NFI_Expiration=1,IF($A10&lt;VLOOKUP(H$5,NFI,5,0),1,0)*Table_NFI[[#This Row],[Hygiene Kit]],Table_NFI[[#This Row],[Hygiene Kit]])</f>
        <v>0</v>
      </c>
      <c r="Q10" s="179">
        <f ca="1">IF(NFI_Expiration=1,IF($A10&lt;VLOOKUP(I$5,NFI,5,0),1,0)*Table_NFI[[#This Row],[NFI Core Kit]],Table_NFI[[#This Row],[NFI Core Kit]])</f>
        <v>0</v>
      </c>
      <c r="R10" s="179">
        <f ca="1">IF(NFI_Expiration=1,IF($A10&lt;VLOOKUP(J$5,NFI,5,0),1,0)*Table_NFI[[#This Row],[Sanitary Kit]],Table_NFI[[#This Row],[Sanitary Kit]])</f>
        <v>0</v>
      </c>
      <c r="S10" s="179">
        <f ca="1">IF(NFI_Expiration=1,IF($A10&lt;VLOOKUP(K$5,NFI,5,0),1,0)*Table_NFI[[#This Row],[Mosquitoe net]],Table_NFI[[#This Row],[Mosquitoe net]])</f>
        <v>0</v>
      </c>
      <c r="T10" s="179">
        <f ca="1">IF(NFI_Expiration=1,IF($A10&lt;VLOOKUP(L$5,NFI,5,0),1,0)*Table_NFI[[#This Row],[Tarpaulin]],Table_NFI[[#This Row],[Tarpaulin]])</f>
        <v>0</v>
      </c>
      <c r="U10" s="179">
        <f ca="1">IF(NFI_Expiration=1,IF($A10&lt;VLOOKUP(M$5,NFI,5,0),1,0)*Table_NFI[[#This Row],[Blanket]],Table_NFI[[#This Row],[Blanket]])</f>
        <v>0</v>
      </c>
      <c r="V10" s="179">
        <f ca="1">IF(NFI_Expiration=1,IF($A10&lt;VLOOKUP(N$5,NFI,5,0),1,0)*Table_NFI[[#This Row],[Kitchen Set]],Table_NFI[[#This Row],[Kitchen Set]])</f>
        <v>0</v>
      </c>
      <c r="W10" s="179">
        <f ca="1">IF(NFI_Expiration=1,IF($A10&lt;VLOOKUP(O$5,NFI,5,0),1,0)*Table_NFI[[#This Row],[Complementary Kit]],Table_NFI[[#This Row],[Complementary Kit]])</f>
        <v>0</v>
      </c>
    </row>
    <row r="11" spans="1:23" s="238" customFormat="1" ht="15">
      <c r="A11" s="125">
        <f ca="1" t="shared" si="0"/>
        <v>8.866666666666667</v>
      </c>
      <c r="B11" s="115">
        <v>41416</v>
      </c>
      <c r="C11" s="127" t="s">
        <v>960</v>
      </c>
      <c r="D11" s="128"/>
      <c r="E11" s="128" t="s">
        <v>433</v>
      </c>
      <c r="F11" s="243" t="s">
        <v>41</v>
      </c>
      <c r="G11" s="128" t="s">
        <v>58</v>
      </c>
      <c r="H11" s="128"/>
      <c r="I11" s="300"/>
      <c r="J11" s="300">
        <v>48</v>
      </c>
      <c r="K11" s="300">
        <v>74</v>
      </c>
      <c r="L11" s="300">
        <v>31</v>
      </c>
      <c r="M11" s="300">
        <v>74</v>
      </c>
      <c r="N11" s="300">
        <v>31</v>
      </c>
      <c r="O11" s="300">
        <v>31</v>
      </c>
      <c r="P11" s="179">
        <f ca="1">IF(NFI_Expiration=1,IF($A11&lt;VLOOKUP(H$5,NFI,5,0),1,0)*Table_NFI[[#This Row],[Hygiene Kit]],Table_NFI[[#This Row],[Hygiene Kit]])</f>
        <v>0</v>
      </c>
      <c r="Q11" s="179">
        <f ca="1">IF(NFI_Expiration=1,IF($A11&lt;VLOOKUP(I$5,NFI,5,0),1,0)*Table_NFI[[#This Row],[NFI Core Kit]],Table_NFI[[#This Row],[NFI Core Kit]])</f>
        <v>0</v>
      </c>
      <c r="R11" s="179">
        <f ca="1">IF(NFI_Expiration=1,IF($A11&lt;VLOOKUP(J$5,NFI,5,0),1,0)*Table_NFI[[#This Row],[Sanitary Kit]],Table_NFI[[#This Row],[Sanitary Kit]])</f>
        <v>0</v>
      </c>
      <c r="S11" s="179">
        <f ca="1">IF(NFI_Expiration=1,IF($A11&lt;VLOOKUP(K$5,NFI,5,0),1,0)*Table_NFI[[#This Row],[Mosquitoe net]],Table_NFI[[#This Row],[Mosquitoe net]])</f>
        <v>0</v>
      </c>
      <c r="T11" s="179">
        <f ca="1">IF(NFI_Expiration=1,IF($A11&lt;VLOOKUP(L$5,NFI,5,0),1,0)*Table_NFI[[#This Row],[Tarpaulin]],Table_NFI[[#This Row],[Tarpaulin]])</f>
        <v>0</v>
      </c>
      <c r="U11" s="179">
        <f ca="1">IF(NFI_Expiration=1,IF($A11&lt;VLOOKUP(M$5,NFI,5,0),1,0)*Table_NFI[[#This Row],[Blanket]],Table_NFI[[#This Row],[Blanket]])</f>
        <v>0</v>
      </c>
      <c r="V11" s="179">
        <f ca="1">IF(NFI_Expiration=1,IF($A11&lt;VLOOKUP(N$5,NFI,5,0),1,0)*Table_NFI[[#This Row],[Kitchen Set]],Table_NFI[[#This Row],[Kitchen Set]])</f>
        <v>0</v>
      </c>
      <c r="W11" s="179">
        <f ca="1">IF(NFI_Expiration=1,IF($A11&lt;VLOOKUP(O$5,NFI,5,0),1,0)*Table_NFI[[#This Row],[Complementary Kit]],Table_NFI[[#This Row],[Complementary Kit]])</f>
        <v>0</v>
      </c>
    </row>
    <row r="12" spans="1:23" s="238" customFormat="1" ht="15">
      <c r="A12" s="125">
        <f ca="1" t="shared" si="0"/>
        <v>8.866666666666667</v>
      </c>
      <c r="B12" s="115">
        <v>41416</v>
      </c>
      <c r="C12" s="127" t="s">
        <v>960</v>
      </c>
      <c r="D12" s="128"/>
      <c r="E12" s="128" t="s">
        <v>433</v>
      </c>
      <c r="F12" s="243" t="s">
        <v>41</v>
      </c>
      <c r="G12" s="128" t="s">
        <v>50</v>
      </c>
      <c r="H12" s="128"/>
      <c r="I12" s="300"/>
      <c r="J12" s="300">
        <v>34</v>
      </c>
      <c r="K12" s="300">
        <v>61</v>
      </c>
      <c r="L12" s="300">
        <v>30</v>
      </c>
      <c r="M12" s="300">
        <v>61</v>
      </c>
      <c r="N12" s="300">
        <v>30</v>
      </c>
      <c r="O12" s="300">
        <v>30</v>
      </c>
      <c r="P12" s="179">
        <f ca="1">IF(NFI_Expiration=1,IF($A12&lt;VLOOKUP(H$5,NFI,5,0),1,0)*Table_NFI[[#This Row],[Hygiene Kit]],Table_NFI[[#This Row],[Hygiene Kit]])</f>
        <v>0</v>
      </c>
      <c r="Q12" s="179">
        <f ca="1">IF(NFI_Expiration=1,IF($A12&lt;VLOOKUP(I$5,NFI,5,0),1,0)*Table_NFI[[#This Row],[NFI Core Kit]],Table_NFI[[#This Row],[NFI Core Kit]])</f>
        <v>0</v>
      </c>
      <c r="R12" s="179">
        <f ca="1">IF(NFI_Expiration=1,IF($A12&lt;VLOOKUP(J$5,NFI,5,0),1,0)*Table_NFI[[#This Row],[Sanitary Kit]],Table_NFI[[#This Row],[Sanitary Kit]])</f>
        <v>0</v>
      </c>
      <c r="S12" s="179">
        <f ca="1">IF(NFI_Expiration=1,IF($A12&lt;VLOOKUP(K$5,NFI,5,0),1,0)*Table_NFI[[#This Row],[Mosquitoe net]],Table_NFI[[#This Row],[Mosquitoe net]])</f>
        <v>0</v>
      </c>
      <c r="T12" s="179">
        <f ca="1">IF(NFI_Expiration=1,IF($A12&lt;VLOOKUP(L$5,NFI,5,0),1,0)*Table_NFI[[#This Row],[Tarpaulin]],Table_NFI[[#This Row],[Tarpaulin]])</f>
        <v>0</v>
      </c>
      <c r="U12" s="179">
        <f ca="1">IF(NFI_Expiration=1,IF($A12&lt;VLOOKUP(M$5,NFI,5,0),1,0)*Table_NFI[[#This Row],[Blanket]],Table_NFI[[#This Row],[Blanket]])</f>
        <v>0</v>
      </c>
      <c r="V12" s="179">
        <f ca="1">IF(NFI_Expiration=1,IF($A12&lt;VLOOKUP(N$5,NFI,5,0),1,0)*Table_NFI[[#This Row],[Kitchen Set]],Table_NFI[[#This Row],[Kitchen Set]])</f>
        <v>0</v>
      </c>
      <c r="W12" s="179">
        <f ca="1">IF(NFI_Expiration=1,IF($A12&lt;VLOOKUP(O$5,NFI,5,0),1,0)*Table_NFI[[#This Row],[Complementary Kit]],Table_NFI[[#This Row],[Complementary Kit]])</f>
        <v>0</v>
      </c>
    </row>
    <row r="13" spans="1:23" s="238" customFormat="1" ht="15">
      <c r="A13" s="125">
        <f ca="1" t="shared" si="0"/>
        <v>9.3</v>
      </c>
      <c r="B13" s="190">
        <v>41403</v>
      </c>
      <c r="C13" s="127" t="s">
        <v>960</v>
      </c>
      <c r="D13" s="128"/>
      <c r="E13" s="128" t="s">
        <v>433</v>
      </c>
      <c r="F13" s="91" t="s">
        <v>189</v>
      </c>
      <c r="G13" s="91" t="s">
        <v>1276</v>
      </c>
      <c r="H13" s="91"/>
      <c r="I13" s="171"/>
      <c r="J13" s="171">
        <v>796</v>
      </c>
      <c r="K13" s="171">
        <v>199</v>
      </c>
      <c r="L13" s="171">
        <v>199</v>
      </c>
      <c r="M13" s="173">
        <v>597</v>
      </c>
      <c r="N13" s="171">
        <v>199</v>
      </c>
      <c r="O13" s="171">
        <v>199</v>
      </c>
      <c r="P13" s="179">
        <f ca="1">IF(NFI_Expiration=1,IF($A13&lt;VLOOKUP(H$5,NFI,5,0),1,0)*Table_NFI[[#This Row],[Hygiene Kit]],Table_NFI[[#This Row],[Hygiene Kit]])</f>
        <v>0</v>
      </c>
      <c r="Q13" s="179">
        <f ca="1">IF(NFI_Expiration=1,IF($A13&lt;VLOOKUP(I$5,NFI,5,0),1,0)*Table_NFI[[#This Row],[NFI Core Kit]],Table_NFI[[#This Row],[NFI Core Kit]])</f>
        <v>0</v>
      </c>
      <c r="R13" s="179">
        <f ca="1">IF(NFI_Expiration=1,IF($A13&lt;VLOOKUP(J$5,NFI,5,0),1,0)*Table_NFI[[#This Row],[Sanitary Kit]],Table_NFI[[#This Row],[Sanitary Kit]])</f>
        <v>0</v>
      </c>
      <c r="S13" s="179">
        <f ca="1">IF(NFI_Expiration=1,IF($A13&lt;VLOOKUP(K$5,NFI,5,0),1,0)*Table_NFI[[#This Row],[Mosquitoe net]],Table_NFI[[#This Row],[Mosquitoe net]])</f>
        <v>0</v>
      </c>
      <c r="T13" s="179">
        <f ca="1">IF(NFI_Expiration=1,IF($A13&lt;VLOOKUP(L$5,NFI,5,0),1,0)*Table_NFI[[#This Row],[Tarpaulin]],Table_NFI[[#This Row],[Tarpaulin]])</f>
        <v>0</v>
      </c>
      <c r="U13" s="179">
        <f ca="1">IF(NFI_Expiration=1,IF($A13&lt;VLOOKUP(M$5,NFI,5,0),1,0)*Table_NFI[[#This Row],[Blanket]],Table_NFI[[#This Row],[Blanket]])</f>
        <v>0</v>
      </c>
      <c r="V13" s="179">
        <f ca="1">IF(NFI_Expiration=1,IF($A13&lt;VLOOKUP(N$5,NFI,5,0),1,0)*Table_NFI[[#This Row],[Kitchen Set]],Table_NFI[[#This Row],[Kitchen Set]])</f>
        <v>0</v>
      </c>
      <c r="W13" s="179">
        <f ca="1">IF(NFI_Expiration=1,IF($A13&lt;VLOOKUP(O$5,NFI,5,0),1,0)*Table_NFI[[#This Row],[Complementary Kit]],Table_NFI[[#This Row],[Complementary Kit]])</f>
        <v>0</v>
      </c>
    </row>
    <row r="14" spans="1:23" s="238" customFormat="1" ht="15">
      <c r="A14" s="125">
        <f ca="1" t="shared" si="0"/>
        <v>9.3</v>
      </c>
      <c r="B14" s="190">
        <v>41403</v>
      </c>
      <c r="C14" s="127" t="s">
        <v>960</v>
      </c>
      <c r="D14" s="128"/>
      <c r="E14" s="128" t="s">
        <v>433</v>
      </c>
      <c r="F14" s="91" t="s">
        <v>189</v>
      </c>
      <c r="G14" s="91" t="s">
        <v>1277</v>
      </c>
      <c r="H14" s="91"/>
      <c r="I14" s="171"/>
      <c r="J14" s="171">
        <v>392</v>
      </c>
      <c r="K14" s="171">
        <v>98</v>
      </c>
      <c r="L14" s="171">
        <v>98</v>
      </c>
      <c r="M14" s="173">
        <v>294</v>
      </c>
      <c r="N14" s="171">
        <v>98</v>
      </c>
      <c r="O14" s="171">
        <v>98</v>
      </c>
      <c r="P14" s="179">
        <f ca="1">IF(NFI_Expiration=1,IF($A14&lt;VLOOKUP(H$5,NFI,5,0),1,0)*Table_NFI[[#This Row],[Hygiene Kit]],Table_NFI[[#This Row],[Hygiene Kit]])</f>
        <v>0</v>
      </c>
      <c r="Q14" s="179">
        <f ca="1">IF(NFI_Expiration=1,IF($A14&lt;VLOOKUP(I$5,NFI,5,0),1,0)*Table_NFI[[#This Row],[NFI Core Kit]],Table_NFI[[#This Row],[NFI Core Kit]])</f>
        <v>0</v>
      </c>
      <c r="R14" s="179">
        <f ca="1">IF(NFI_Expiration=1,IF($A14&lt;VLOOKUP(J$5,NFI,5,0),1,0)*Table_NFI[[#This Row],[Sanitary Kit]],Table_NFI[[#This Row],[Sanitary Kit]])</f>
        <v>0</v>
      </c>
      <c r="S14" s="179">
        <f ca="1">IF(NFI_Expiration=1,IF($A14&lt;VLOOKUP(K$5,NFI,5,0),1,0)*Table_NFI[[#This Row],[Mosquitoe net]],Table_NFI[[#This Row],[Mosquitoe net]])</f>
        <v>0</v>
      </c>
      <c r="T14" s="179">
        <f ca="1">IF(NFI_Expiration=1,IF($A14&lt;VLOOKUP(L$5,NFI,5,0),1,0)*Table_NFI[[#This Row],[Tarpaulin]],Table_NFI[[#This Row],[Tarpaulin]])</f>
        <v>0</v>
      </c>
      <c r="U14" s="179">
        <f ca="1">IF(NFI_Expiration=1,IF($A14&lt;VLOOKUP(M$5,NFI,5,0),1,0)*Table_NFI[[#This Row],[Blanket]],Table_NFI[[#This Row],[Blanket]])</f>
        <v>0</v>
      </c>
      <c r="V14" s="179">
        <f ca="1">IF(NFI_Expiration=1,IF($A14&lt;VLOOKUP(N$5,NFI,5,0),1,0)*Table_NFI[[#This Row],[Kitchen Set]],Table_NFI[[#This Row],[Kitchen Set]])</f>
        <v>0</v>
      </c>
      <c r="W14" s="179">
        <f ca="1">IF(NFI_Expiration=1,IF($A14&lt;VLOOKUP(O$5,NFI,5,0),1,0)*Table_NFI[[#This Row],[Complementary Kit]],Table_NFI[[#This Row],[Complementary Kit]])</f>
        <v>0</v>
      </c>
    </row>
    <row r="15" spans="1:23" s="238" customFormat="1" ht="15">
      <c r="A15" s="125">
        <f ca="1" t="shared" si="0"/>
        <v>9.3</v>
      </c>
      <c r="B15" s="190">
        <v>41403</v>
      </c>
      <c r="C15" s="127" t="s">
        <v>960</v>
      </c>
      <c r="D15" s="128"/>
      <c r="E15" s="128" t="s">
        <v>433</v>
      </c>
      <c r="F15" s="91" t="s">
        <v>189</v>
      </c>
      <c r="G15" s="91" t="s">
        <v>1278</v>
      </c>
      <c r="H15" s="91"/>
      <c r="I15" s="171"/>
      <c r="J15" s="171">
        <v>496</v>
      </c>
      <c r="K15" s="171">
        <v>124</v>
      </c>
      <c r="L15" s="171">
        <v>124</v>
      </c>
      <c r="M15" s="173">
        <v>372</v>
      </c>
      <c r="N15" s="171">
        <v>124</v>
      </c>
      <c r="O15" s="171">
        <v>124</v>
      </c>
      <c r="P15" s="179">
        <f ca="1">IF(NFI_Expiration=1,IF($A15&lt;VLOOKUP(H$5,NFI,5,0),1,0)*Table_NFI[[#This Row],[Hygiene Kit]],Table_NFI[[#This Row],[Hygiene Kit]])</f>
        <v>0</v>
      </c>
      <c r="Q15" s="179">
        <f ca="1">IF(NFI_Expiration=1,IF($A15&lt;VLOOKUP(I$5,NFI,5,0),1,0)*Table_NFI[[#This Row],[NFI Core Kit]],Table_NFI[[#This Row],[NFI Core Kit]])</f>
        <v>0</v>
      </c>
      <c r="R15" s="179">
        <f ca="1">IF(NFI_Expiration=1,IF($A15&lt;VLOOKUP(J$5,NFI,5,0),1,0)*Table_NFI[[#This Row],[Sanitary Kit]],Table_NFI[[#This Row],[Sanitary Kit]])</f>
        <v>0</v>
      </c>
      <c r="S15" s="179">
        <f ca="1">IF(NFI_Expiration=1,IF($A15&lt;VLOOKUP(K$5,NFI,5,0),1,0)*Table_NFI[[#This Row],[Mosquitoe net]],Table_NFI[[#This Row],[Mosquitoe net]])</f>
        <v>0</v>
      </c>
      <c r="T15" s="179">
        <f ca="1">IF(NFI_Expiration=1,IF($A15&lt;VLOOKUP(L$5,NFI,5,0),1,0)*Table_NFI[[#This Row],[Tarpaulin]],Table_NFI[[#This Row],[Tarpaulin]])</f>
        <v>0</v>
      </c>
      <c r="U15" s="179">
        <f ca="1">IF(NFI_Expiration=1,IF($A15&lt;VLOOKUP(M$5,NFI,5,0),1,0)*Table_NFI[[#This Row],[Blanket]],Table_NFI[[#This Row],[Blanket]])</f>
        <v>0</v>
      </c>
      <c r="V15" s="179">
        <f ca="1">IF(NFI_Expiration=1,IF($A15&lt;VLOOKUP(N$5,NFI,5,0),1,0)*Table_NFI[[#This Row],[Kitchen Set]],Table_NFI[[#This Row],[Kitchen Set]])</f>
        <v>0</v>
      </c>
      <c r="W15" s="179">
        <f ca="1">IF(NFI_Expiration=1,IF($A15&lt;VLOOKUP(O$5,NFI,5,0),1,0)*Table_NFI[[#This Row],[Complementary Kit]],Table_NFI[[#This Row],[Complementary Kit]])</f>
        <v>0</v>
      </c>
    </row>
    <row r="16" spans="1:23" s="238" customFormat="1" ht="15">
      <c r="A16" s="125">
        <f ca="1" t="shared" si="0"/>
        <v>9.266666666666667</v>
      </c>
      <c r="B16" s="190">
        <v>41404</v>
      </c>
      <c r="C16" s="127" t="s">
        <v>960</v>
      </c>
      <c r="D16" s="128"/>
      <c r="E16" s="128" t="s">
        <v>433</v>
      </c>
      <c r="F16" s="91" t="s">
        <v>189</v>
      </c>
      <c r="G16" s="91" t="s">
        <v>1279</v>
      </c>
      <c r="H16" s="91"/>
      <c r="I16" s="171"/>
      <c r="J16" s="171">
        <v>72</v>
      </c>
      <c r="K16" s="171">
        <v>18</v>
      </c>
      <c r="L16" s="171">
        <v>18</v>
      </c>
      <c r="M16" s="173">
        <v>54</v>
      </c>
      <c r="N16" s="171">
        <v>18</v>
      </c>
      <c r="O16" s="171">
        <v>18</v>
      </c>
      <c r="P16" s="179">
        <f ca="1">IF(NFI_Expiration=1,IF($A16&lt;VLOOKUP(H$5,NFI,5,0),1,0)*Table_NFI[[#This Row],[Hygiene Kit]],Table_NFI[[#This Row],[Hygiene Kit]])</f>
        <v>0</v>
      </c>
      <c r="Q16" s="179">
        <f ca="1">IF(NFI_Expiration=1,IF($A16&lt;VLOOKUP(I$5,NFI,5,0),1,0)*Table_NFI[[#This Row],[NFI Core Kit]],Table_NFI[[#This Row],[NFI Core Kit]])</f>
        <v>0</v>
      </c>
      <c r="R16" s="179">
        <f ca="1">IF(NFI_Expiration=1,IF($A16&lt;VLOOKUP(J$5,NFI,5,0),1,0)*Table_NFI[[#This Row],[Sanitary Kit]],Table_NFI[[#This Row],[Sanitary Kit]])</f>
        <v>0</v>
      </c>
      <c r="S16" s="179">
        <f ca="1">IF(NFI_Expiration=1,IF($A16&lt;VLOOKUP(K$5,NFI,5,0),1,0)*Table_NFI[[#This Row],[Mosquitoe net]],Table_NFI[[#This Row],[Mosquitoe net]])</f>
        <v>0</v>
      </c>
      <c r="T16" s="179">
        <f ca="1">IF(NFI_Expiration=1,IF($A16&lt;VLOOKUP(L$5,NFI,5,0),1,0)*Table_NFI[[#This Row],[Tarpaulin]],Table_NFI[[#This Row],[Tarpaulin]])</f>
        <v>0</v>
      </c>
      <c r="U16" s="179">
        <f ca="1">IF(NFI_Expiration=1,IF($A16&lt;VLOOKUP(M$5,NFI,5,0),1,0)*Table_NFI[[#This Row],[Blanket]],Table_NFI[[#This Row],[Blanket]])</f>
        <v>0</v>
      </c>
      <c r="V16" s="179">
        <f ca="1">IF(NFI_Expiration=1,IF($A16&lt;VLOOKUP(N$5,NFI,5,0),1,0)*Table_NFI[[#This Row],[Kitchen Set]],Table_NFI[[#This Row],[Kitchen Set]])</f>
        <v>0</v>
      </c>
      <c r="W16" s="179">
        <f ca="1">IF(NFI_Expiration=1,IF($A16&lt;VLOOKUP(O$5,NFI,5,0),1,0)*Table_NFI[[#This Row],[Complementary Kit]],Table_NFI[[#This Row],[Complementary Kit]])</f>
        <v>0</v>
      </c>
    </row>
    <row r="17" spans="1:23" s="238" customFormat="1" ht="15">
      <c r="A17" s="125">
        <f ca="1" t="shared" si="0"/>
        <v>9.266666666666667</v>
      </c>
      <c r="B17" s="190">
        <v>41404</v>
      </c>
      <c r="C17" s="127" t="s">
        <v>960</v>
      </c>
      <c r="D17" s="128"/>
      <c r="E17" s="128" t="s">
        <v>433</v>
      </c>
      <c r="F17" s="91" t="s">
        <v>189</v>
      </c>
      <c r="G17" s="91" t="s">
        <v>1280</v>
      </c>
      <c r="H17" s="91"/>
      <c r="I17" s="171"/>
      <c r="J17" s="171">
        <v>40</v>
      </c>
      <c r="K17" s="171">
        <v>10</v>
      </c>
      <c r="L17" s="171">
        <v>10</v>
      </c>
      <c r="M17" s="173">
        <v>30</v>
      </c>
      <c r="N17" s="171">
        <v>10</v>
      </c>
      <c r="O17" s="171">
        <v>10</v>
      </c>
      <c r="P17" s="179">
        <f ca="1">IF(NFI_Expiration=1,IF($A17&lt;VLOOKUP(H$5,NFI,5,0),1,0)*Table_NFI[[#This Row],[Hygiene Kit]],Table_NFI[[#This Row],[Hygiene Kit]])</f>
        <v>0</v>
      </c>
      <c r="Q17" s="179">
        <f ca="1">IF(NFI_Expiration=1,IF($A17&lt;VLOOKUP(I$5,NFI,5,0),1,0)*Table_NFI[[#This Row],[NFI Core Kit]],Table_NFI[[#This Row],[NFI Core Kit]])</f>
        <v>0</v>
      </c>
      <c r="R17" s="179">
        <f ca="1">IF(NFI_Expiration=1,IF($A17&lt;VLOOKUP(J$5,NFI,5,0),1,0)*Table_NFI[[#This Row],[Sanitary Kit]],Table_NFI[[#This Row],[Sanitary Kit]])</f>
        <v>0</v>
      </c>
      <c r="S17" s="179">
        <f ca="1">IF(NFI_Expiration=1,IF($A17&lt;VLOOKUP(K$5,NFI,5,0),1,0)*Table_NFI[[#This Row],[Mosquitoe net]],Table_NFI[[#This Row],[Mosquitoe net]])</f>
        <v>0</v>
      </c>
      <c r="T17" s="179">
        <f ca="1">IF(NFI_Expiration=1,IF($A17&lt;VLOOKUP(L$5,NFI,5,0),1,0)*Table_NFI[[#This Row],[Tarpaulin]],Table_NFI[[#This Row],[Tarpaulin]])</f>
        <v>0</v>
      </c>
      <c r="U17" s="179">
        <f ca="1">IF(NFI_Expiration=1,IF($A17&lt;VLOOKUP(M$5,NFI,5,0),1,0)*Table_NFI[[#This Row],[Blanket]],Table_NFI[[#This Row],[Blanket]])</f>
        <v>0</v>
      </c>
      <c r="V17" s="179">
        <f ca="1">IF(NFI_Expiration=1,IF($A17&lt;VLOOKUP(N$5,NFI,5,0),1,0)*Table_NFI[[#This Row],[Kitchen Set]],Table_NFI[[#This Row],[Kitchen Set]])</f>
        <v>0</v>
      </c>
      <c r="W17" s="179">
        <f ca="1">IF(NFI_Expiration=1,IF($A17&lt;VLOOKUP(O$5,NFI,5,0),1,0)*Table_NFI[[#This Row],[Complementary Kit]],Table_NFI[[#This Row],[Complementary Kit]])</f>
        <v>0</v>
      </c>
    </row>
    <row r="18" spans="1:23" s="238" customFormat="1" ht="15">
      <c r="A18" s="125">
        <f ca="1" t="shared" si="0"/>
        <v>9.266666666666667</v>
      </c>
      <c r="B18" s="190">
        <v>41404</v>
      </c>
      <c r="C18" s="127" t="s">
        <v>960</v>
      </c>
      <c r="D18" s="128"/>
      <c r="E18" s="128" t="s">
        <v>433</v>
      </c>
      <c r="F18" s="91" t="s">
        <v>189</v>
      </c>
      <c r="G18" s="91" t="s">
        <v>1281</v>
      </c>
      <c r="H18" s="91"/>
      <c r="I18" s="171"/>
      <c r="J18" s="171">
        <v>52</v>
      </c>
      <c r="K18" s="171">
        <v>13</v>
      </c>
      <c r="L18" s="171">
        <v>13</v>
      </c>
      <c r="M18" s="173">
        <v>39</v>
      </c>
      <c r="N18" s="171">
        <v>13</v>
      </c>
      <c r="O18" s="171">
        <v>13</v>
      </c>
      <c r="P18" s="179">
        <f ca="1">IF(NFI_Expiration=1,IF($A18&lt;VLOOKUP(H$5,NFI,5,0),1,0)*Table_NFI[[#This Row],[Hygiene Kit]],Table_NFI[[#This Row],[Hygiene Kit]])</f>
        <v>0</v>
      </c>
      <c r="Q18" s="179">
        <f ca="1">IF(NFI_Expiration=1,IF($A18&lt;VLOOKUP(I$5,NFI,5,0),1,0)*Table_NFI[[#This Row],[NFI Core Kit]],Table_NFI[[#This Row],[NFI Core Kit]])</f>
        <v>0</v>
      </c>
      <c r="R18" s="179">
        <f ca="1">IF(NFI_Expiration=1,IF($A18&lt;VLOOKUP(J$5,NFI,5,0),1,0)*Table_NFI[[#This Row],[Sanitary Kit]],Table_NFI[[#This Row],[Sanitary Kit]])</f>
        <v>0</v>
      </c>
      <c r="S18" s="179">
        <f ca="1">IF(NFI_Expiration=1,IF($A18&lt;VLOOKUP(K$5,NFI,5,0),1,0)*Table_NFI[[#This Row],[Mosquitoe net]],Table_NFI[[#This Row],[Mosquitoe net]])</f>
        <v>0</v>
      </c>
      <c r="T18" s="179">
        <f ca="1">IF(NFI_Expiration=1,IF($A18&lt;VLOOKUP(L$5,NFI,5,0),1,0)*Table_NFI[[#This Row],[Tarpaulin]],Table_NFI[[#This Row],[Tarpaulin]])</f>
        <v>0</v>
      </c>
      <c r="U18" s="179">
        <f ca="1">IF(NFI_Expiration=1,IF($A18&lt;VLOOKUP(M$5,NFI,5,0),1,0)*Table_NFI[[#This Row],[Blanket]],Table_NFI[[#This Row],[Blanket]])</f>
        <v>0</v>
      </c>
      <c r="V18" s="179">
        <f ca="1">IF(NFI_Expiration=1,IF($A18&lt;VLOOKUP(N$5,NFI,5,0),1,0)*Table_NFI[[#This Row],[Kitchen Set]],Table_NFI[[#This Row],[Kitchen Set]])</f>
        <v>0</v>
      </c>
      <c r="W18" s="179">
        <f ca="1">IF(NFI_Expiration=1,IF($A18&lt;VLOOKUP(O$5,NFI,5,0),1,0)*Table_NFI[[#This Row],[Complementary Kit]],Table_NFI[[#This Row],[Complementary Kit]])</f>
        <v>0</v>
      </c>
    </row>
    <row r="19" spans="1:23" s="238" customFormat="1" ht="15">
      <c r="A19" s="125">
        <f ca="1" t="shared" si="0"/>
        <v>9.266666666666667</v>
      </c>
      <c r="B19" s="190">
        <v>41404</v>
      </c>
      <c r="C19" s="127" t="s">
        <v>960</v>
      </c>
      <c r="D19" s="128"/>
      <c r="E19" s="128" t="s">
        <v>433</v>
      </c>
      <c r="F19" s="91" t="s">
        <v>189</v>
      </c>
      <c r="G19" s="91" t="s">
        <v>1282</v>
      </c>
      <c r="H19" s="91"/>
      <c r="I19" s="171"/>
      <c r="J19" s="171">
        <v>112</v>
      </c>
      <c r="K19" s="171">
        <v>28</v>
      </c>
      <c r="L19" s="171">
        <v>28</v>
      </c>
      <c r="M19" s="173">
        <v>84</v>
      </c>
      <c r="N19" s="171">
        <v>28</v>
      </c>
      <c r="O19" s="171">
        <v>28</v>
      </c>
      <c r="P19" s="179">
        <f ca="1">IF(NFI_Expiration=1,IF($A19&lt;VLOOKUP(H$5,NFI,5,0),1,0)*Table_NFI[[#This Row],[Hygiene Kit]],Table_NFI[[#This Row],[Hygiene Kit]])</f>
        <v>0</v>
      </c>
      <c r="Q19" s="179">
        <f ca="1">IF(NFI_Expiration=1,IF($A19&lt;VLOOKUP(I$5,NFI,5,0),1,0)*Table_NFI[[#This Row],[NFI Core Kit]],Table_NFI[[#This Row],[NFI Core Kit]])</f>
        <v>0</v>
      </c>
      <c r="R19" s="179">
        <f ca="1">IF(NFI_Expiration=1,IF($A19&lt;VLOOKUP(J$5,NFI,5,0),1,0)*Table_NFI[[#This Row],[Sanitary Kit]],Table_NFI[[#This Row],[Sanitary Kit]])</f>
        <v>0</v>
      </c>
      <c r="S19" s="179">
        <f ca="1">IF(NFI_Expiration=1,IF($A19&lt;VLOOKUP(K$5,NFI,5,0),1,0)*Table_NFI[[#This Row],[Mosquitoe net]],Table_NFI[[#This Row],[Mosquitoe net]])</f>
        <v>0</v>
      </c>
      <c r="T19" s="179">
        <f ca="1">IF(NFI_Expiration=1,IF($A19&lt;VLOOKUP(L$5,NFI,5,0),1,0)*Table_NFI[[#This Row],[Tarpaulin]],Table_NFI[[#This Row],[Tarpaulin]])</f>
        <v>0</v>
      </c>
      <c r="U19" s="179">
        <f ca="1">IF(NFI_Expiration=1,IF($A19&lt;VLOOKUP(M$5,NFI,5,0),1,0)*Table_NFI[[#This Row],[Blanket]],Table_NFI[[#This Row],[Blanket]])</f>
        <v>0</v>
      </c>
      <c r="V19" s="179">
        <f ca="1">IF(NFI_Expiration=1,IF($A19&lt;VLOOKUP(N$5,NFI,5,0),1,0)*Table_NFI[[#This Row],[Kitchen Set]],Table_NFI[[#This Row],[Kitchen Set]])</f>
        <v>0</v>
      </c>
      <c r="W19" s="179">
        <f ca="1">IF(NFI_Expiration=1,IF($A19&lt;VLOOKUP(O$5,NFI,5,0),1,0)*Table_NFI[[#This Row],[Complementary Kit]],Table_NFI[[#This Row],[Complementary Kit]])</f>
        <v>0</v>
      </c>
    </row>
    <row r="20" spans="1:23" s="238" customFormat="1" ht="15">
      <c r="A20" s="125">
        <f ca="1" t="shared" si="0"/>
        <v>9.266666666666667</v>
      </c>
      <c r="B20" s="190">
        <v>41404</v>
      </c>
      <c r="C20" s="127" t="s">
        <v>960</v>
      </c>
      <c r="D20" s="128"/>
      <c r="E20" s="128" t="s">
        <v>433</v>
      </c>
      <c r="F20" s="91" t="s">
        <v>189</v>
      </c>
      <c r="G20" s="91" t="s">
        <v>1283</v>
      </c>
      <c r="H20" s="91"/>
      <c r="I20" s="171"/>
      <c r="J20" s="171">
        <v>12</v>
      </c>
      <c r="K20" s="171">
        <v>3</v>
      </c>
      <c r="L20" s="171">
        <v>3</v>
      </c>
      <c r="M20" s="173">
        <v>9</v>
      </c>
      <c r="N20" s="171">
        <v>3</v>
      </c>
      <c r="O20" s="171">
        <v>3</v>
      </c>
      <c r="P20" s="179">
        <f ca="1">IF(NFI_Expiration=1,IF($A20&lt;VLOOKUP(H$5,NFI,5,0),1,0)*Table_NFI[[#This Row],[Hygiene Kit]],Table_NFI[[#This Row],[Hygiene Kit]])</f>
        <v>0</v>
      </c>
      <c r="Q20" s="179">
        <f ca="1">IF(NFI_Expiration=1,IF($A20&lt;VLOOKUP(I$5,NFI,5,0),1,0)*Table_NFI[[#This Row],[NFI Core Kit]],Table_NFI[[#This Row],[NFI Core Kit]])</f>
        <v>0</v>
      </c>
      <c r="R20" s="179">
        <f ca="1">IF(NFI_Expiration=1,IF($A20&lt;VLOOKUP(J$5,NFI,5,0),1,0)*Table_NFI[[#This Row],[Sanitary Kit]],Table_NFI[[#This Row],[Sanitary Kit]])</f>
        <v>0</v>
      </c>
      <c r="S20" s="179">
        <f ca="1">IF(NFI_Expiration=1,IF($A20&lt;VLOOKUP(K$5,NFI,5,0),1,0)*Table_NFI[[#This Row],[Mosquitoe net]],Table_NFI[[#This Row],[Mosquitoe net]])</f>
        <v>0</v>
      </c>
      <c r="T20" s="179">
        <f ca="1">IF(NFI_Expiration=1,IF($A20&lt;VLOOKUP(L$5,NFI,5,0),1,0)*Table_NFI[[#This Row],[Tarpaulin]],Table_NFI[[#This Row],[Tarpaulin]])</f>
        <v>0</v>
      </c>
      <c r="U20" s="179">
        <f ca="1">IF(NFI_Expiration=1,IF($A20&lt;VLOOKUP(M$5,NFI,5,0),1,0)*Table_NFI[[#This Row],[Blanket]],Table_NFI[[#This Row],[Blanket]])</f>
        <v>0</v>
      </c>
      <c r="V20" s="179">
        <f ca="1">IF(NFI_Expiration=1,IF($A20&lt;VLOOKUP(N$5,NFI,5,0),1,0)*Table_NFI[[#This Row],[Kitchen Set]],Table_NFI[[#This Row],[Kitchen Set]])</f>
        <v>0</v>
      </c>
      <c r="W20" s="179">
        <f ca="1">IF(NFI_Expiration=1,IF($A20&lt;VLOOKUP(O$5,NFI,5,0),1,0)*Table_NFI[[#This Row],[Complementary Kit]],Table_NFI[[#This Row],[Complementary Kit]])</f>
        <v>0</v>
      </c>
    </row>
    <row r="21" spans="1:23" s="238" customFormat="1" ht="15">
      <c r="A21" s="125">
        <f ca="1" t="shared" si="0"/>
        <v>9.266666666666667</v>
      </c>
      <c r="B21" s="190">
        <v>41404</v>
      </c>
      <c r="C21" s="127" t="s">
        <v>960</v>
      </c>
      <c r="D21" s="128"/>
      <c r="E21" s="128" t="s">
        <v>433</v>
      </c>
      <c r="F21" s="91" t="s">
        <v>189</v>
      </c>
      <c r="G21" s="91" t="s">
        <v>1284</v>
      </c>
      <c r="H21" s="91"/>
      <c r="I21" s="171"/>
      <c r="J21" s="171">
        <v>16</v>
      </c>
      <c r="K21" s="171">
        <v>4</v>
      </c>
      <c r="L21" s="171">
        <v>4</v>
      </c>
      <c r="M21" s="173">
        <v>12</v>
      </c>
      <c r="N21" s="171">
        <v>4</v>
      </c>
      <c r="O21" s="171">
        <v>4</v>
      </c>
      <c r="P21" s="179">
        <f ca="1">IF(NFI_Expiration=1,IF($A21&lt;VLOOKUP(H$5,NFI,5,0),1,0)*Table_NFI[[#This Row],[Hygiene Kit]],Table_NFI[[#This Row],[Hygiene Kit]])</f>
        <v>0</v>
      </c>
      <c r="Q21" s="179">
        <f ca="1">IF(NFI_Expiration=1,IF($A21&lt;VLOOKUP(I$5,NFI,5,0),1,0)*Table_NFI[[#This Row],[NFI Core Kit]],Table_NFI[[#This Row],[NFI Core Kit]])</f>
        <v>0</v>
      </c>
      <c r="R21" s="179">
        <f ca="1">IF(NFI_Expiration=1,IF($A21&lt;VLOOKUP(J$5,NFI,5,0),1,0)*Table_NFI[[#This Row],[Sanitary Kit]],Table_NFI[[#This Row],[Sanitary Kit]])</f>
        <v>0</v>
      </c>
      <c r="S21" s="179">
        <f ca="1">IF(NFI_Expiration=1,IF($A21&lt;VLOOKUP(K$5,NFI,5,0),1,0)*Table_NFI[[#This Row],[Mosquitoe net]],Table_NFI[[#This Row],[Mosquitoe net]])</f>
        <v>0</v>
      </c>
      <c r="T21" s="179">
        <f ca="1">IF(NFI_Expiration=1,IF($A21&lt;VLOOKUP(L$5,NFI,5,0),1,0)*Table_NFI[[#This Row],[Tarpaulin]],Table_NFI[[#This Row],[Tarpaulin]])</f>
        <v>0</v>
      </c>
      <c r="U21" s="179">
        <f ca="1">IF(NFI_Expiration=1,IF($A21&lt;VLOOKUP(M$5,NFI,5,0),1,0)*Table_NFI[[#This Row],[Blanket]],Table_NFI[[#This Row],[Blanket]])</f>
        <v>0</v>
      </c>
      <c r="V21" s="179">
        <f ca="1">IF(NFI_Expiration=1,IF($A21&lt;VLOOKUP(N$5,NFI,5,0),1,0)*Table_NFI[[#This Row],[Kitchen Set]],Table_NFI[[#This Row],[Kitchen Set]])</f>
        <v>0</v>
      </c>
      <c r="W21" s="179">
        <f ca="1">IF(NFI_Expiration=1,IF($A21&lt;VLOOKUP(O$5,NFI,5,0),1,0)*Table_NFI[[#This Row],[Complementary Kit]],Table_NFI[[#This Row],[Complementary Kit]])</f>
        <v>0</v>
      </c>
    </row>
    <row r="22" spans="1:23" s="238" customFormat="1" ht="15">
      <c r="A22" s="125">
        <f ca="1" t="shared" si="0"/>
        <v>9.1</v>
      </c>
      <c r="B22" s="190">
        <v>41409</v>
      </c>
      <c r="C22" s="127" t="s">
        <v>960</v>
      </c>
      <c r="D22" s="128"/>
      <c r="E22" s="128" t="s">
        <v>433</v>
      </c>
      <c r="F22" s="91" t="s">
        <v>189</v>
      </c>
      <c r="G22" s="91" t="s">
        <v>1285</v>
      </c>
      <c r="H22" s="91"/>
      <c r="I22" s="171"/>
      <c r="J22" s="171">
        <v>124</v>
      </c>
      <c r="K22" s="171">
        <v>31</v>
      </c>
      <c r="L22" s="171">
        <v>31</v>
      </c>
      <c r="M22" s="173">
        <v>93</v>
      </c>
      <c r="N22" s="171">
        <v>31</v>
      </c>
      <c r="O22" s="171">
        <v>31</v>
      </c>
      <c r="P22" s="179">
        <f ca="1">IF(NFI_Expiration=1,IF($A22&lt;VLOOKUP(H$5,NFI,5,0),1,0)*Table_NFI[[#This Row],[Hygiene Kit]],Table_NFI[[#This Row],[Hygiene Kit]])</f>
        <v>0</v>
      </c>
      <c r="Q22" s="179">
        <f ca="1">IF(NFI_Expiration=1,IF($A22&lt;VLOOKUP(I$5,NFI,5,0),1,0)*Table_NFI[[#This Row],[NFI Core Kit]],Table_NFI[[#This Row],[NFI Core Kit]])</f>
        <v>0</v>
      </c>
      <c r="R22" s="179">
        <f ca="1">IF(NFI_Expiration=1,IF($A22&lt;VLOOKUP(J$5,NFI,5,0),1,0)*Table_NFI[[#This Row],[Sanitary Kit]],Table_NFI[[#This Row],[Sanitary Kit]])</f>
        <v>0</v>
      </c>
      <c r="S22" s="179">
        <f ca="1">IF(NFI_Expiration=1,IF($A22&lt;VLOOKUP(K$5,NFI,5,0),1,0)*Table_NFI[[#This Row],[Mosquitoe net]],Table_NFI[[#This Row],[Mosquitoe net]])</f>
        <v>0</v>
      </c>
      <c r="T22" s="179">
        <f ca="1">IF(NFI_Expiration=1,IF($A22&lt;VLOOKUP(L$5,NFI,5,0),1,0)*Table_NFI[[#This Row],[Tarpaulin]],Table_NFI[[#This Row],[Tarpaulin]])</f>
        <v>0</v>
      </c>
      <c r="U22" s="179">
        <f ca="1">IF(NFI_Expiration=1,IF($A22&lt;VLOOKUP(M$5,NFI,5,0),1,0)*Table_NFI[[#This Row],[Blanket]],Table_NFI[[#This Row],[Blanket]])</f>
        <v>0</v>
      </c>
      <c r="V22" s="179">
        <f ca="1">IF(NFI_Expiration=1,IF($A22&lt;VLOOKUP(N$5,NFI,5,0),1,0)*Table_NFI[[#This Row],[Kitchen Set]],Table_NFI[[#This Row],[Kitchen Set]])</f>
        <v>0</v>
      </c>
      <c r="W22" s="179">
        <f ca="1">IF(NFI_Expiration=1,IF($A22&lt;VLOOKUP(O$5,NFI,5,0),1,0)*Table_NFI[[#This Row],[Complementary Kit]],Table_NFI[[#This Row],[Complementary Kit]])</f>
        <v>0</v>
      </c>
    </row>
    <row r="23" spans="1:23" s="238" customFormat="1" ht="15">
      <c r="A23" s="125">
        <f ca="1" t="shared" si="0"/>
        <v>8.666666666666666</v>
      </c>
      <c r="B23" s="115">
        <v>41422</v>
      </c>
      <c r="C23" s="127" t="s">
        <v>960</v>
      </c>
      <c r="D23" s="128"/>
      <c r="E23" s="128" t="s">
        <v>433</v>
      </c>
      <c r="F23" s="299" t="s">
        <v>316</v>
      </c>
      <c r="G23" s="128" t="s">
        <v>325</v>
      </c>
      <c r="H23" s="128"/>
      <c r="I23" s="300"/>
      <c r="J23" s="300">
        <v>18</v>
      </c>
      <c r="K23" s="300">
        <v>20</v>
      </c>
      <c r="L23" s="300">
        <v>14</v>
      </c>
      <c r="M23" s="300">
        <v>20</v>
      </c>
      <c r="N23" s="300">
        <v>10</v>
      </c>
      <c r="O23" s="300">
        <v>10</v>
      </c>
      <c r="P23" s="179">
        <f ca="1">IF(NFI_Expiration=1,IF($A23&lt;VLOOKUP(H$5,NFI,5,0),1,0)*Table_NFI[[#This Row],[Hygiene Kit]],Table_NFI[[#This Row],[Hygiene Kit]])</f>
        <v>0</v>
      </c>
      <c r="Q23" s="179">
        <f ca="1">IF(NFI_Expiration=1,IF($A23&lt;VLOOKUP(I$5,NFI,5,0),1,0)*Table_NFI[[#This Row],[NFI Core Kit]],Table_NFI[[#This Row],[NFI Core Kit]])</f>
        <v>0</v>
      </c>
      <c r="R23" s="179">
        <f ca="1">IF(NFI_Expiration=1,IF($A23&lt;VLOOKUP(J$5,NFI,5,0),1,0)*Table_NFI[[#This Row],[Sanitary Kit]],Table_NFI[[#This Row],[Sanitary Kit]])</f>
        <v>0</v>
      </c>
      <c r="S23" s="179">
        <f ca="1">IF(NFI_Expiration=1,IF($A23&lt;VLOOKUP(K$5,NFI,5,0),1,0)*Table_NFI[[#This Row],[Mosquitoe net]],Table_NFI[[#This Row],[Mosquitoe net]])</f>
        <v>0</v>
      </c>
      <c r="T23" s="179">
        <f ca="1">IF(NFI_Expiration=1,IF($A23&lt;VLOOKUP(L$5,NFI,5,0),1,0)*Table_NFI[[#This Row],[Tarpaulin]],Table_NFI[[#This Row],[Tarpaulin]])</f>
        <v>0</v>
      </c>
      <c r="U23" s="179">
        <f ca="1">IF(NFI_Expiration=1,IF($A23&lt;VLOOKUP(M$5,NFI,5,0),1,0)*Table_NFI[[#This Row],[Blanket]],Table_NFI[[#This Row],[Blanket]])</f>
        <v>0</v>
      </c>
      <c r="V23" s="179">
        <f ca="1">IF(NFI_Expiration=1,IF($A23&lt;VLOOKUP(N$5,NFI,5,0),1,0)*Table_NFI[[#This Row],[Kitchen Set]],Table_NFI[[#This Row],[Kitchen Set]])</f>
        <v>0</v>
      </c>
      <c r="W23" s="179">
        <f ca="1">IF(NFI_Expiration=1,IF($A23&lt;VLOOKUP(O$5,NFI,5,0),1,0)*Table_NFI[[#This Row],[Complementary Kit]],Table_NFI[[#This Row],[Complementary Kit]])</f>
        <v>0</v>
      </c>
    </row>
    <row r="24" spans="1:23" ht="15">
      <c r="A24" s="125">
        <f aca="true" t="shared" si="1" ref="A24:A64">IF(ISBLANK(B24),"",(TODAY()-B24)/30)</f>
        <v>8.633333333333333</v>
      </c>
      <c r="B24" s="116">
        <v>41423</v>
      </c>
      <c r="C24" s="117" t="s">
        <v>960</v>
      </c>
      <c r="D24" s="91"/>
      <c r="E24" s="91" t="s">
        <v>434</v>
      </c>
      <c r="F24" s="120" t="s">
        <v>453</v>
      </c>
      <c r="G24" s="120" t="s">
        <v>479</v>
      </c>
      <c r="H24" s="121">
        <v>0</v>
      </c>
      <c r="I24" s="171">
        <v>10</v>
      </c>
      <c r="J24" s="171"/>
      <c r="K24" s="171"/>
      <c r="L24" s="171"/>
      <c r="M24" s="171"/>
      <c r="N24" s="171"/>
      <c r="O24" s="171"/>
      <c r="P24" s="179">
        <f ca="1">IF(NFI_Expiration=1,IF($A24&lt;VLOOKUP(H$5,NFI,5,0),1,0)*Table_NFI[[#This Row],[Hygiene Kit]],Table_NFI[[#This Row],[Hygiene Kit]])</f>
        <v>0</v>
      </c>
      <c r="Q24" s="179">
        <f ca="1">IF(NFI_Expiration=1,IF($A24&lt;VLOOKUP(I$5,NFI,5,0),1,0)*Table_NFI[[#This Row],[NFI Core Kit]],Table_NFI[[#This Row],[NFI Core Kit]])</f>
        <v>0</v>
      </c>
      <c r="R24" s="179">
        <f ca="1">IF(NFI_Expiration=1,IF($A24&lt;VLOOKUP(J$5,NFI,5,0),1,0)*Table_NFI[[#This Row],[Sanitary Kit]],Table_NFI[[#This Row],[Sanitary Kit]])</f>
        <v>0</v>
      </c>
      <c r="S24" s="179">
        <f ca="1">IF(NFI_Expiration=1,IF($A24&lt;VLOOKUP(K$5,NFI,5,0),1,0)*Table_NFI[[#This Row],[Mosquitoe net]],Table_NFI[[#This Row],[Mosquitoe net]])</f>
        <v>0</v>
      </c>
      <c r="T24" s="179">
        <f ca="1">IF(NFI_Expiration=1,IF($A24&lt;VLOOKUP(L$5,NFI,5,0),1,0)*Table_NFI[[#This Row],[Tarpaulin]],Table_NFI[[#This Row],[Tarpaulin]])</f>
        <v>0</v>
      </c>
      <c r="U24" s="179">
        <f ca="1">IF(NFI_Expiration=1,IF($A24&lt;VLOOKUP(M$5,NFI,5,0),1,0)*Table_NFI[[#This Row],[Blanket]],Table_NFI[[#This Row],[Blanket]])</f>
        <v>0</v>
      </c>
      <c r="V24" s="179">
        <f ca="1">IF(NFI_Expiration=1,IF($A24&lt;VLOOKUP(N$5,NFI,5,0),1,0)*Table_NFI[[#This Row],[Kitchen Set]],Table_NFI[[#This Row],[Kitchen Set]])</f>
        <v>0</v>
      </c>
      <c r="W24" s="179">
        <f ca="1">IF(NFI_Expiration=1,IF($A24&lt;VLOOKUP(O$5,NFI,5,0),1,0)*Table_NFI[[#This Row],[Complementary Kit]],Table_NFI[[#This Row],[Complementary Kit]])</f>
        <v>0</v>
      </c>
    </row>
    <row r="25" spans="1:23" ht="15">
      <c r="A25" s="125">
        <f ca="1" t="shared" si="1"/>
        <v>8.633333333333333</v>
      </c>
      <c r="B25" s="115">
        <v>41423</v>
      </c>
      <c r="C25" s="91" t="s">
        <v>960</v>
      </c>
      <c r="D25" s="91" t="s">
        <v>967</v>
      </c>
      <c r="E25" s="91" t="s">
        <v>434</v>
      </c>
      <c r="F25" s="1" t="s">
        <v>460</v>
      </c>
      <c r="G25" s="91"/>
      <c r="H25" s="91"/>
      <c r="I25" s="171"/>
      <c r="J25" s="171"/>
      <c r="K25" s="171"/>
      <c r="L25" s="171">
        <v>1520</v>
      </c>
      <c r="M25" s="171"/>
      <c r="N25" s="171"/>
      <c r="O25" s="171"/>
      <c r="P25" s="179">
        <f ca="1">IF(NFI_Expiration=1,IF($A25&lt;VLOOKUP(H$5,NFI,5,0),1,0)*Table_NFI[[#This Row],[Hygiene Kit]],Table_NFI[[#This Row],[Hygiene Kit]])</f>
        <v>0</v>
      </c>
      <c r="Q25" s="179">
        <f ca="1">IF(NFI_Expiration=1,IF($A25&lt;VLOOKUP(I$5,NFI,5,0),1,0)*Table_NFI[[#This Row],[NFI Core Kit]],Table_NFI[[#This Row],[NFI Core Kit]])</f>
        <v>0</v>
      </c>
      <c r="R25" s="179">
        <f ca="1">IF(NFI_Expiration=1,IF($A25&lt;VLOOKUP(J$5,NFI,5,0),1,0)*Table_NFI[[#This Row],[Sanitary Kit]],Table_NFI[[#This Row],[Sanitary Kit]])</f>
        <v>0</v>
      </c>
      <c r="S25" s="179">
        <f ca="1">IF(NFI_Expiration=1,IF($A25&lt;VLOOKUP(K$5,NFI,5,0),1,0)*Table_NFI[[#This Row],[Mosquitoe net]],Table_NFI[[#This Row],[Mosquitoe net]])</f>
        <v>0</v>
      </c>
      <c r="T25" s="179">
        <f ca="1">IF(NFI_Expiration=1,IF($A25&lt;VLOOKUP(L$5,NFI,5,0),1,0)*Table_NFI[[#This Row],[Tarpaulin]],Table_NFI[[#This Row],[Tarpaulin]])</f>
        <v>0</v>
      </c>
      <c r="U25" s="179">
        <f ca="1">IF(NFI_Expiration=1,IF($A25&lt;VLOOKUP(M$5,NFI,5,0),1,0)*Table_NFI[[#This Row],[Blanket]],Table_NFI[[#This Row],[Blanket]])</f>
        <v>0</v>
      </c>
      <c r="V25" s="179">
        <f ca="1">IF(NFI_Expiration=1,IF($A25&lt;VLOOKUP(N$5,NFI,5,0),1,0)*Table_NFI[[#This Row],[Kitchen Set]],Table_NFI[[#This Row],[Kitchen Set]])</f>
        <v>0</v>
      </c>
      <c r="W25" s="179">
        <f ca="1">IF(NFI_Expiration=1,IF($A25&lt;VLOOKUP(O$5,NFI,5,0),1,0)*Table_NFI[[#This Row],[Complementary Kit]],Table_NFI[[#This Row],[Complementary Kit]])</f>
        <v>0</v>
      </c>
    </row>
    <row r="26" spans="1:23" ht="15">
      <c r="A26" s="125">
        <f ca="1" t="shared" si="1"/>
        <v>8.666666666666666</v>
      </c>
      <c r="B26" s="115">
        <v>41422</v>
      </c>
      <c r="C26" s="91" t="s">
        <v>960</v>
      </c>
      <c r="D26" s="91"/>
      <c r="E26" s="91" t="s">
        <v>434</v>
      </c>
      <c r="F26" s="1" t="s">
        <v>460</v>
      </c>
      <c r="G26" s="91" t="s">
        <v>515</v>
      </c>
      <c r="H26" s="91"/>
      <c r="I26" s="171"/>
      <c r="J26" s="171"/>
      <c r="K26" s="171"/>
      <c r="L26" s="172">
        <v>108</v>
      </c>
      <c r="M26" s="171"/>
      <c r="N26" s="171"/>
      <c r="O26" s="171"/>
      <c r="P26" s="179">
        <f ca="1">IF(NFI_Expiration=1,IF($A26&lt;VLOOKUP(H$5,NFI,5,0),1,0)*Table_NFI[[#This Row],[Hygiene Kit]],Table_NFI[[#This Row],[Hygiene Kit]])</f>
        <v>0</v>
      </c>
      <c r="Q26" s="179">
        <f ca="1">IF(NFI_Expiration=1,IF($A26&lt;VLOOKUP(I$5,NFI,5,0),1,0)*Table_NFI[[#This Row],[NFI Core Kit]],Table_NFI[[#This Row],[NFI Core Kit]])</f>
        <v>0</v>
      </c>
      <c r="R26" s="179">
        <f ca="1">IF(NFI_Expiration=1,IF($A26&lt;VLOOKUP(J$5,NFI,5,0),1,0)*Table_NFI[[#This Row],[Sanitary Kit]],Table_NFI[[#This Row],[Sanitary Kit]])</f>
        <v>0</v>
      </c>
      <c r="S26" s="179">
        <f ca="1">IF(NFI_Expiration=1,IF($A26&lt;VLOOKUP(K$5,NFI,5,0),1,0)*Table_NFI[[#This Row],[Mosquitoe net]],Table_NFI[[#This Row],[Mosquitoe net]])</f>
        <v>0</v>
      </c>
      <c r="T26" s="179">
        <f ca="1">IF(NFI_Expiration=1,IF($A26&lt;VLOOKUP(L$5,NFI,5,0),1,0)*Table_NFI[[#This Row],[Tarpaulin]],Table_NFI[[#This Row],[Tarpaulin]])</f>
        <v>0</v>
      </c>
      <c r="U26" s="179">
        <f ca="1">IF(NFI_Expiration=1,IF($A26&lt;VLOOKUP(M$5,NFI,5,0),1,0)*Table_NFI[[#This Row],[Blanket]],Table_NFI[[#This Row],[Blanket]])</f>
        <v>0</v>
      </c>
      <c r="V26" s="179">
        <f ca="1">IF(NFI_Expiration=1,IF($A26&lt;VLOOKUP(N$5,NFI,5,0),1,0)*Table_NFI[[#This Row],[Kitchen Set]],Table_NFI[[#This Row],[Kitchen Set]])</f>
        <v>0</v>
      </c>
      <c r="W26" s="179">
        <f ca="1">IF(NFI_Expiration=1,IF($A26&lt;VLOOKUP(O$5,NFI,5,0),1,0)*Table_NFI[[#This Row],[Complementary Kit]],Table_NFI[[#This Row],[Complementary Kit]])</f>
        <v>0</v>
      </c>
    </row>
    <row r="27" spans="1:23" ht="15">
      <c r="A27" s="125">
        <f ca="1" t="shared" si="1"/>
        <v>8.7</v>
      </c>
      <c r="B27" s="115">
        <v>41421</v>
      </c>
      <c r="C27" s="91" t="s">
        <v>960</v>
      </c>
      <c r="D27" s="91"/>
      <c r="E27" s="91" t="s">
        <v>434</v>
      </c>
      <c r="F27" s="1" t="s">
        <v>460</v>
      </c>
      <c r="G27" s="91" t="s">
        <v>515</v>
      </c>
      <c r="H27" s="91"/>
      <c r="I27" s="171"/>
      <c r="J27" s="171"/>
      <c r="K27" s="171"/>
      <c r="L27" s="172">
        <v>111</v>
      </c>
      <c r="M27" s="171"/>
      <c r="N27" s="171"/>
      <c r="O27" s="171"/>
      <c r="P27" s="179">
        <f ca="1">IF(NFI_Expiration=1,IF($A27&lt;VLOOKUP(H$5,NFI,5,0),1,0)*Table_NFI[[#This Row],[Hygiene Kit]],Table_NFI[[#This Row],[Hygiene Kit]])</f>
        <v>0</v>
      </c>
      <c r="Q27" s="179">
        <f ca="1">IF(NFI_Expiration=1,IF($A27&lt;VLOOKUP(I$5,NFI,5,0),1,0)*Table_NFI[[#This Row],[NFI Core Kit]],Table_NFI[[#This Row],[NFI Core Kit]])</f>
        <v>0</v>
      </c>
      <c r="R27" s="179">
        <f ca="1">IF(NFI_Expiration=1,IF($A27&lt;VLOOKUP(J$5,NFI,5,0),1,0)*Table_NFI[[#This Row],[Sanitary Kit]],Table_NFI[[#This Row],[Sanitary Kit]])</f>
        <v>0</v>
      </c>
      <c r="S27" s="179">
        <f ca="1">IF(NFI_Expiration=1,IF($A27&lt;VLOOKUP(K$5,NFI,5,0),1,0)*Table_NFI[[#This Row],[Mosquitoe net]],Table_NFI[[#This Row],[Mosquitoe net]])</f>
        <v>0</v>
      </c>
      <c r="T27" s="179">
        <f ca="1">IF(NFI_Expiration=1,IF($A27&lt;VLOOKUP(L$5,NFI,5,0),1,0)*Table_NFI[[#This Row],[Tarpaulin]],Table_NFI[[#This Row],[Tarpaulin]])</f>
        <v>0</v>
      </c>
      <c r="U27" s="179">
        <f ca="1">IF(NFI_Expiration=1,IF($A27&lt;VLOOKUP(M$5,NFI,5,0),1,0)*Table_NFI[[#This Row],[Blanket]],Table_NFI[[#This Row],[Blanket]])</f>
        <v>0</v>
      </c>
      <c r="V27" s="179">
        <f ca="1">IF(NFI_Expiration=1,IF($A27&lt;VLOOKUP(N$5,NFI,5,0),1,0)*Table_NFI[[#This Row],[Kitchen Set]],Table_NFI[[#This Row],[Kitchen Set]])</f>
        <v>0</v>
      </c>
      <c r="W27" s="179">
        <f ca="1">IF(NFI_Expiration=1,IF($A27&lt;VLOOKUP(O$5,NFI,5,0),1,0)*Table_NFI[[#This Row],[Complementary Kit]],Table_NFI[[#This Row],[Complementary Kit]])</f>
        <v>0</v>
      </c>
    </row>
    <row r="28" spans="1:23" ht="15">
      <c r="A28" s="125">
        <f ca="1" t="shared" si="1"/>
        <v>9.533333333333333</v>
      </c>
      <c r="B28" s="115">
        <v>41396</v>
      </c>
      <c r="C28" s="117" t="s">
        <v>960</v>
      </c>
      <c r="D28" s="91"/>
      <c r="E28" s="91" t="s">
        <v>434</v>
      </c>
      <c r="F28" s="1" t="s">
        <v>452</v>
      </c>
      <c r="G28" s="91" t="s">
        <v>473</v>
      </c>
      <c r="H28" s="91"/>
      <c r="I28" s="171"/>
      <c r="J28" s="171"/>
      <c r="K28" s="171"/>
      <c r="L28" s="171"/>
      <c r="M28" s="171">
        <v>1</v>
      </c>
      <c r="N28" s="171"/>
      <c r="O28" s="171"/>
      <c r="P28" s="179">
        <f ca="1">IF(NFI_Expiration=1,IF($A28&lt;VLOOKUP(H$5,NFI,5,0),1,0)*Table_NFI[[#This Row],[Hygiene Kit]],Table_NFI[[#This Row],[Hygiene Kit]])</f>
        <v>0</v>
      </c>
      <c r="Q28" s="179">
        <f ca="1">IF(NFI_Expiration=1,IF($A28&lt;VLOOKUP(I$5,NFI,5,0),1,0)*Table_NFI[[#This Row],[NFI Core Kit]],Table_NFI[[#This Row],[NFI Core Kit]])</f>
        <v>0</v>
      </c>
      <c r="R28" s="179">
        <f ca="1">IF(NFI_Expiration=1,IF($A28&lt;VLOOKUP(J$5,NFI,5,0),1,0)*Table_NFI[[#This Row],[Sanitary Kit]],Table_NFI[[#This Row],[Sanitary Kit]])</f>
        <v>0</v>
      </c>
      <c r="S28" s="179">
        <f ca="1">IF(NFI_Expiration=1,IF($A28&lt;VLOOKUP(K$5,NFI,5,0),1,0)*Table_NFI[[#This Row],[Mosquitoe net]],Table_NFI[[#This Row],[Mosquitoe net]])</f>
        <v>0</v>
      </c>
      <c r="T28" s="179">
        <f ca="1">IF(NFI_Expiration=1,IF($A28&lt;VLOOKUP(L$5,NFI,5,0),1,0)*Table_NFI[[#This Row],[Tarpaulin]],Table_NFI[[#This Row],[Tarpaulin]])</f>
        <v>0</v>
      </c>
      <c r="U28" s="179">
        <f ca="1">IF(NFI_Expiration=1,IF($A28&lt;VLOOKUP(M$5,NFI,5,0),1,0)*Table_NFI[[#This Row],[Blanket]],Table_NFI[[#This Row],[Blanket]])</f>
        <v>0</v>
      </c>
      <c r="V28" s="179">
        <f ca="1">IF(NFI_Expiration=1,IF($A28&lt;VLOOKUP(N$5,NFI,5,0),1,0)*Table_NFI[[#This Row],[Kitchen Set]],Table_NFI[[#This Row],[Kitchen Set]])</f>
        <v>0</v>
      </c>
      <c r="W28" s="179">
        <f ca="1">IF(NFI_Expiration=1,IF($A28&lt;VLOOKUP(O$5,NFI,5,0),1,0)*Table_NFI[[#This Row],[Complementary Kit]],Table_NFI[[#This Row],[Complementary Kit]])</f>
        <v>0</v>
      </c>
    </row>
    <row r="29" spans="1:23" ht="15">
      <c r="A29" s="125">
        <f ca="1" t="shared" si="1"/>
        <v>9.533333333333333</v>
      </c>
      <c r="B29" s="115">
        <v>41396</v>
      </c>
      <c r="C29" s="91" t="s">
        <v>960</v>
      </c>
      <c r="D29" s="91"/>
      <c r="E29" s="91" t="s">
        <v>434</v>
      </c>
      <c r="F29" s="1" t="s">
        <v>452</v>
      </c>
      <c r="G29" s="91" t="s">
        <v>473</v>
      </c>
      <c r="H29" s="91"/>
      <c r="I29" s="171"/>
      <c r="J29" s="171"/>
      <c r="K29" s="171"/>
      <c r="L29" s="172">
        <v>1</v>
      </c>
      <c r="M29" s="171"/>
      <c r="N29" s="171"/>
      <c r="O29" s="171"/>
      <c r="P29" s="179">
        <f ca="1">IF(NFI_Expiration=1,IF($A29&lt;VLOOKUP(H$5,NFI,5,0),1,0)*Table_NFI[[#This Row],[Hygiene Kit]],Table_NFI[[#This Row],[Hygiene Kit]])</f>
        <v>0</v>
      </c>
      <c r="Q29" s="179">
        <f ca="1">IF(NFI_Expiration=1,IF($A29&lt;VLOOKUP(I$5,NFI,5,0),1,0)*Table_NFI[[#This Row],[NFI Core Kit]],Table_NFI[[#This Row],[NFI Core Kit]])</f>
        <v>0</v>
      </c>
      <c r="R29" s="179">
        <f ca="1">IF(NFI_Expiration=1,IF($A29&lt;VLOOKUP(J$5,NFI,5,0),1,0)*Table_NFI[[#This Row],[Sanitary Kit]],Table_NFI[[#This Row],[Sanitary Kit]])</f>
        <v>0</v>
      </c>
      <c r="S29" s="179">
        <f ca="1">IF(NFI_Expiration=1,IF($A29&lt;VLOOKUP(K$5,NFI,5,0),1,0)*Table_NFI[[#This Row],[Mosquitoe net]],Table_NFI[[#This Row],[Mosquitoe net]])</f>
        <v>0</v>
      </c>
      <c r="T29" s="179">
        <f ca="1">IF(NFI_Expiration=1,IF($A29&lt;VLOOKUP(L$5,NFI,5,0),1,0)*Table_NFI[[#This Row],[Tarpaulin]],Table_NFI[[#This Row],[Tarpaulin]])</f>
        <v>0</v>
      </c>
      <c r="U29" s="179">
        <f ca="1">IF(NFI_Expiration=1,IF($A29&lt;VLOOKUP(M$5,NFI,5,0),1,0)*Table_NFI[[#This Row],[Blanket]],Table_NFI[[#This Row],[Blanket]])</f>
        <v>0</v>
      </c>
      <c r="V29" s="179">
        <f ca="1">IF(NFI_Expiration=1,IF($A29&lt;VLOOKUP(N$5,NFI,5,0),1,0)*Table_NFI[[#This Row],[Kitchen Set]],Table_NFI[[#This Row],[Kitchen Set]])</f>
        <v>0</v>
      </c>
      <c r="W29" s="179">
        <f ca="1">IF(NFI_Expiration=1,IF($A29&lt;VLOOKUP(O$5,NFI,5,0),1,0)*Table_NFI[[#This Row],[Complementary Kit]],Table_NFI[[#This Row],[Complementary Kit]])</f>
        <v>0</v>
      </c>
    </row>
    <row r="30" spans="1:23" ht="15">
      <c r="A30" s="125">
        <f ca="1" t="shared" si="1"/>
        <v>9.6</v>
      </c>
      <c r="B30" s="115">
        <v>41394</v>
      </c>
      <c r="C30" s="117" t="s">
        <v>960</v>
      </c>
      <c r="D30" s="91"/>
      <c r="E30" s="91" t="s">
        <v>434</v>
      </c>
      <c r="F30" s="1" t="s">
        <v>455</v>
      </c>
      <c r="G30" s="91"/>
      <c r="H30" s="91"/>
      <c r="I30" s="171"/>
      <c r="J30" s="171"/>
      <c r="K30" s="171"/>
      <c r="L30" s="171"/>
      <c r="M30" s="171">
        <v>1</v>
      </c>
      <c r="N30" s="171"/>
      <c r="O30" s="171"/>
      <c r="P30" s="179">
        <f ca="1">IF(NFI_Expiration=1,IF($A30&lt;VLOOKUP(H$5,NFI,5,0),1,0)*Table_NFI[[#This Row],[Hygiene Kit]],Table_NFI[[#This Row],[Hygiene Kit]])</f>
        <v>0</v>
      </c>
      <c r="Q30" s="179">
        <f ca="1">IF(NFI_Expiration=1,IF($A30&lt;VLOOKUP(I$5,NFI,5,0),1,0)*Table_NFI[[#This Row],[NFI Core Kit]],Table_NFI[[#This Row],[NFI Core Kit]])</f>
        <v>0</v>
      </c>
      <c r="R30" s="179">
        <f ca="1">IF(NFI_Expiration=1,IF($A30&lt;VLOOKUP(J$5,NFI,5,0),1,0)*Table_NFI[[#This Row],[Sanitary Kit]],Table_NFI[[#This Row],[Sanitary Kit]])</f>
        <v>0</v>
      </c>
      <c r="S30" s="179">
        <f ca="1">IF(NFI_Expiration=1,IF($A30&lt;VLOOKUP(K$5,NFI,5,0),1,0)*Table_NFI[[#This Row],[Mosquitoe net]],Table_NFI[[#This Row],[Mosquitoe net]])</f>
        <v>0</v>
      </c>
      <c r="T30" s="179">
        <f ca="1">IF(NFI_Expiration=1,IF($A30&lt;VLOOKUP(L$5,NFI,5,0),1,0)*Table_NFI[[#This Row],[Tarpaulin]],Table_NFI[[#This Row],[Tarpaulin]])</f>
        <v>0</v>
      </c>
      <c r="U30" s="179">
        <f ca="1">IF(NFI_Expiration=1,IF($A30&lt;VLOOKUP(M$5,NFI,5,0),1,0)*Table_NFI[[#This Row],[Blanket]],Table_NFI[[#This Row],[Blanket]])</f>
        <v>0</v>
      </c>
      <c r="V30" s="179">
        <f ca="1">IF(NFI_Expiration=1,IF($A30&lt;VLOOKUP(N$5,NFI,5,0),1,0)*Table_NFI[[#This Row],[Kitchen Set]],Table_NFI[[#This Row],[Kitchen Set]])</f>
        <v>0</v>
      </c>
      <c r="W30" s="179">
        <f ca="1">IF(NFI_Expiration=1,IF($A30&lt;VLOOKUP(O$5,NFI,5,0),1,0)*Table_NFI[[#This Row],[Complementary Kit]],Table_NFI[[#This Row],[Complementary Kit]])</f>
        <v>0</v>
      </c>
    </row>
    <row r="31" spans="1:23" ht="15">
      <c r="A31" s="125">
        <f ca="1" t="shared" si="1"/>
        <v>9.633333333333333</v>
      </c>
      <c r="B31" s="115">
        <v>41393</v>
      </c>
      <c r="C31" s="91" t="s">
        <v>960</v>
      </c>
      <c r="D31" s="91"/>
      <c r="E31" s="91" t="s">
        <v>434</v>
      </c>
      <c r="F31" s="1" t="s">
        <v>457</v>
      </c>
      <c r="G31" s="91" t="s">
        <v>498</v>
      </c>
      <c r="H31" s="91">
        <v>0</v>
      </c>
      <c r="I31" s="171">
        <v>64</v>
      </c>
      <c r="J31" s="171">
        <v>128</v>
      </c>
      <c r="K31" s="236">
        <v>128</v>
      </c>
      <c r="L31" s="171">
        <v>64</v>
      </c>
      <c r="M31" s="171">
        <v>0</v>
      </c>
      <c r="N31" s="171"/>
      <c r="O31" s="171"/>
      <c r="P31" s="179">
        <f ca="1">IF(NFI_Expiration=1,IF($A31&lt;VLOOKUP(H$5,NFI,5,0),1,0)*Table_NFI[[#This Row],[Hygiene Kit]],Table_NFI[[#This Row],[Hygiene Kit]])</f>
        <v>0</v>
      </c>
      <c r="Q31" s="179">
        <f ca="1">IF(NFI_Expiration=1,IF($A31&lt;VLOOKUP(I$5,NFI,5,0),1,0)*Table_NFI[[#This Row],[NFI Core Kit]],Table_NFI[[#This Row],[NFI Core Kit]])</f>
        <v>0</v>
      </c>
      <c r="R31" s="179">
        <f ca="1">IF(NFI_Expiration=1,IF($A31&lt;VLOOKUP(J$5,NFI,5,0),1,0)*Table_NFI[[#This Row],[Sanitary Kit]],Table_NFI[[#This Row],[Sanitary Kit]])</f>
        <v>0</v>
      </c>
      <c r="S31" s="179">
        <f ca="1">IF(NFI_Expiration=1,IF($A31&lt;VLOOKUP(K$5,NFI,5,0),1,0)*Table_NFI[[#This Row],[Mosquitoe net]],Table_NFI[[#This Row],[Mosquitoe net]])</f>
        <v>0</v>
      </c>
      <c r="T31" s="179">
        <f ca="1">IF(NFI_Expiration=1,IF($A31&lt;VLOOKUP(L$5,NFI,5,0),1,0)*Table_NFI[[#This Row],[Tarpaulin]],Table_NFI[[#This Row],[Tarpaulin]])</f>
        <v>0</v>
      </c>
      <c r="U31" s="179">
        <f ca="1">IF(NFI_Expiration=1,IF($A31&lt;VLOOKUP(M$5,NFI,5,0),1,0)*Table_NFI[[#This Row],[Blanket]],Table_NFI[[#This Row],[Blanket]])</f>
        <v>0</v>
      </c>
      <c r="V31" s="179">
        <f ca="1">IF(NFI_Expiration=1,IF($A31&lt;VLOOKUP(N$5,NFI,5,0),1,0)*Table_NFI[[#This Row],[Kitchen Set]],Table_NFI[[#This Row],[Kitchen Set]])</f>
        <v>0</v>
      </c>
      <c r="W31" s="179">
        <f ca="1">IF(NFI_Expiration=1,IF($A31&lt;VLOOKUP(O$5,NFI,5,0),1,0)*Table_NFI[[#This Row],[Complementary Kit]],Table_NFI[[#This Row],[Complementary Kit]])</f>
        <v>0</v>
      </c>
    </row>
    <row r="32" spans="1:23" ht="15">
      <c r="A32" s="125">
        <f ca="1" t="shared" si="1"/>
        <v>10.2</v>
      </c>
      <c r="B32" s="115">
        <v>41376</v>
      </c>
      <c r="C32" s="117" t="s">
        <v>960</v>
      </c>
      <c r="D32" s="91"/>
      <c r="E32" s="91" t="s">
        <v>434</v>
      </c>
      <c r="F32" s="1" t="s">
        <v>460</v>
      </c>
      <c r="G32" s="91" t="s">
        <v>518</v>
      </c>
      <c r="H32" s="91"/>
      <c r="I32" s="171"/>
      <c r="J32" s="171"/>
      <c r="K32" s="236"/>
      <c r="L32" s="171"/>
      <c r="M32" s="171">
        <v>54</v>
      </c>
      <c r="N32" s="171"/>
      <c r="O32" s="171"/>
      <c r="P32" s="179">
        <f ca="1">IF(NFI_Expiration=1,IF($A32&lt;VLOOKUP(H$5,NFI,5,0),1,0)*Table_NFI[[#This Row],[Hygiene Kit]],Table_NFI[[#This Row],[Hygiene Kit]])</f>
        <v>0</v>
      </c>
      <c r="Q32" s="179">
        <f ca="1">IF(NFI_Expiration=1,IF($A32&lt;VLOOKUP(I$5,NFI,5,0),1,0)*Table_NFI[[#This Row],[NFI Core Kit]],Table_NFI[[#This Row],[NFI Core Kit]])</f>
        <v>0</v>
      </c>
      <c r="R32" s="179">
        <f ca="1">IF(NFI_Expiration=1,IF($A32&lt;VLOOKUP(J$5,NFI,5,0),1,0)*Table_NFI[[#This Row],[Sanitary Kit]],Table_NFI[[#This Row],[Sanitary Kit]])</f>
        <v>0</v>
      </c>
      <c r="S32" s="179">
        <f ca="1">IF(NFI_Expiration=1,IF($A32&lt;VLOOKUP(K$5,NFI,5,0),1,0)*Table_NFI[[#This Row],[Mosquitoe net]],Table_NFI[[#This Row],[Mosquitoe net]])</f>
        <v>0</v>
      </c>
      <c r="T32" s="179">
        <f ca="1">IF(NFI_Expiration=1,IF($A32&lt;VLOOKUP(L$5,NFI,5,0),1,0)*Table_NFI[[#This Row],[Tarpaulin]],Table_NFI[[#This Row],[Tarpaulin]])</f>
        <v>0</v>
      </c>
      <c r="U32" s="179">
        <f ca="1">IF(NFI_Expiration=1,IF($A32&lt;VLOOKUP(M$5,NFI,5,0),1,0)*Table_NFI[[#This Row],[Blanket]],Table_NFI[[#This Row],[Blanket]])</f>
        <v>0</v>
      </c>
      <c r="V32" s="179">
        <f ca="1">IF(NFI_Expiration=1,IF($A32&lt;VLOOKUP(N$5,NFI,5,0),1,0)*Table_NFI[[#This Row],[Kitchen Set]],Table_NFI[[#This Row],[Kitchen Set]])</f>
        <v>0</v>
      </c>
      <c r="W32" s="179">
        <f ca="1">IF(NFI_Expiration=1,IF($A32&lt;VLOOKUP(O$5,NFI,5,0),1,0)*Table_NFI[[#This Row],[Complementary Kit]],Table_NFI[[#This Row],[Complementary Kit]])</f>
        <v>0</v>
      </c>
    </row>
    <row r="33" spans="1:23" ht="15">
      <c r="A33" s="125">
        <f ca="1" t="shared" si="1"/>
        <v>10.266666666666667</v>
      </c>
      <c r="B33" s="115">
        <v>41374</v>
      </c>
      <c r="C33" s="117" t="s">
        <v>960</v>
      </c>
      <c r="D33" s="91"/>
      <c r="E33" s="122" t="s">
        <v>434</v>
      </c>
      <c r="F33" s="1" t="s">
        <v>455</v>
      </c>
      <c r="G33" s="91" t="s">
        <v>486</v>
      </c>
      <c r="H33" s="91"/>
      <c r="I33" s="171"/>
      <c r="J33" s="171"/>
      <c r="K33" s="236"/>
      <c r="L33" s="171"/>
      <c r="M33" s="171">
        <v>91</v>
      </c>
      <c r="N33" s="171"/>
      <c r="O33" s="171"/>
      <c r="P33" s="179">
        <f ca="1">IF(NFI_Expiration=1,IF($A33&lt;VLOOKUP(H$5,NFI,5,0),1,0)*Table_NFI[[#This Row],[Hygiene Kit]],Table_NFI[[#This Row],[Hygiene Kit]])</f>
        <v>0</v>
      </c>
      <c r="Q33" s="179">
        <f ca="1">IF(NFI_Expiration=1,IF($A33&lt;VLOOKUP(I$5,NFI,5,0),1,0)*Table_NFI[[#This Row],[NFI Core Kit]],Table_NFI[[#This Row],[NFI Core Kit]])</f>
        <v>0</v>
      </c>
      <c r="R33" s="179">
        <f ca="1">IF(NFI_Expiration=1,IF($A33&lt;VLOOKUP(J$5,NFI,5,0),1,0)*Table_NFI[[#This Row],[Sanitary Kit]],Table_NFI[[#This Row],[Sanitary Kit]])</f>
        <v>0</v>
      </c>
      <c r="S33" s="179">
        <f ca="1">IF(NFI_Expiration=1,IF($A33&lt;VLOOKUP(K$5,NFI,5,0),1,0)*Table_NFI[[#This Row],[Mosquitoe net]],Table_NFI[[#This Row],[Mosquitoe net]])</f>
        <v>0</v>
      </c>
      <c r="T33" s="179">
        <f ca="1">IF(NFI_Expiration=1,IF($A33&lt;VLOOKUP(L$5,NFI,5,0),1,0)*Table_NFI[[#This Row],[Tarpaulin]],Table_NFI[[#This Row],[Tarpaulin]])</f>
        <v>0</v>
      </c>
      <c r="U33" s="179">
        <f ca="1">IF(NFI_Expiration=1,IF($A33&lt;VLOOKUP(M$5,NFI,5,0),1,0)*Table_NFI[[#This Row],[Blanket]],Table_NFI[[#This Row],[Blanket]])</f>
        <v>0</v>
      </c>
      <c r="V33" s="179">
        <f ca="1">IF(NFI_Expiration=1,IF($A33&lt;VLOOKUP(N$5,NFI,5,0),1,0)*Table_NFI[[#This Row],[Kitchen Set]],Table_NFI[[#This Row],[Kitchen Set]])</f>
        <v>0</v>
      </c>
      <c r="W33" s="179">
        <f ca="1">IF(NFI_Expiration=1,IF($A33&lt;VLOOKUP(O$5,NFI,5,0),1,0)*Table_NFI[[#This Row],[Complementary Kit]],Table_NFI[[#This Row],[Complementary Kit]])</f>
        <v>0</v>
      </c>
    </row>
    <row r="34" spans="1:23" ht="15">
      <c r="A34" s="125">
        <f ca="1" t="shared" si="1"/>
        <v>10.266666666666667</v>
      </c>
      <c r="B34" s="115">
        <v>41374</v>
      </c>
      <c r="C34" s="117" t="s">
        <v>960</v>
      </c>
      <c r="D34" s="91"/>
      <c r="E34" s="122" t="s">
        <v>434</v>
      </c>
      <c r="F34" s="1" t="s">
        <v>460</v>
      </c>
      <c r="G34" s="91" t="s">
        <v>518</v>
      </c>
      <c r="H34" s="91"/>
      <c r="I34" s="171"/>
      <c r="J34" s="171"/>
      <c r="K34" s="236"/>
      <c r="L34" s="171"/>
      <c r="M34" s="171">
        <v>90</v>
      </c>
      <c r="N34" s="171"/>
      <c r="O34" s="171"/>
      <c r="P34" s="179">
        <f ca="1">IF(NFI_Expiration=1,IF($A34&lt;VLOOKUP(H$5,NFI,5,0),1,0)*Table_NFI[[#This Row],[Hygiene Kit]],Table_NFI[[#This Row],[Hygiene Kit]])</f>
        <v>0</v>
      </c>
      <c r="Q34" s="179">
        <f ca="1">IF(NFI_Expiration=1,IF($A34&lt;VLOOKUP(I$5,NFI,5,0),1,0)*Table_NFI[[#This Row],[NFI Core Kit]],Table_NFI[[#This Row],[NFI Core Kit]])</f>
        <v>0</v>
      </c>
      <c r="R34" s="179">
        <f ca="1">IF(NFI_Expiration=1,IF($A34&lt;VLOOKUP(J$5,NFI,5,0),1,0)*Table_NFI[[#This Row],[Sanitary Kit]],Table_NFI[[#This Row],[Sanitary Kit]])</f>
        <v>0</v>
      </c>
      <c r="S34" s="179">
        <f ca="1">IF(NFI_Expiration=1,IF($A34&lt;VLOOKUP(K$5,NFI,5,0),1,0)*Table_NFI[[#This Row],[Mosquitoe net]],Table_NFI[[#This Row],[Mosquitoe net]])</f>
        <v>0</v>
      </c>
      <c r="T34" s="179">
        <f ca="1">IF(NFI_Expiration=1,IF($A34&lt;VLOOKUP(L$5,NFI,5,0),1,0)*Table_NFI[[#This Row],[Tarpaulin]],Table_NFI[[#This Row],[Tarpaulin]])</f>
        <v>0</v>
      </c>
      <c r="U34" s="179">
        <f ca="1">IF(NFI_Expiration=1,IF($A34&lt;VLOOKUP(M$5,NFI,5,0),1,0)*Table_NFI[[#This Row],[Blanket]],Table_NFI[[#This Row],[Blanket]])</f>
        <v>0</v>
      </c>
      <c r="V34" s="179">
        <f ca="1">IF(NFI_Expiration=1,IF($A34&lt;VLOOKUP(N$5,NFI,5,0),1,0)*Table_NFI[[#This Row],[Kitchen Set]],Table_NFI[[#This Row],[Kitchen Set]])</f>
        <v>0</v>
      </c>
      <c r="W34" s="179">
        <f ca="1">IF(NFI_Expiration=1,IF($A34&lt;VLOOKUP(O$5,NFI,5,0),1,0)*Table_NFI[[#This Row],[Complementary Kit]],Table_NFI[[#This Row],[Complementary Kit]])</f>
        <v>0</v>
      </c>
    </row>
    <row r="35" spans="1:23" ht="15">
      <c r="A35" s="125">
        <f ca="1" t="shared" si="1"/>
        <v>10.3</v>
      </c>
      <c r="B35" s="115">
        <v>41373</v>
      </c>
      <c r="C35" s="117" t="s">
        <v>960</v>
      </c>
      <c r="D35" s="91"/>
      <c r="E35" s="122" t="s">
        <v>434</v>
      </c>
      <c r="F35" s="1" t="s">
        <v>460</v>
      </c>
      <c r="G35" s="91" t="s">
        <v>518</v>
      </c>
      <c r="H35" s="91"/>
      <c r="I35" s="171"/>
      <c r="J35" s="171"/>
      <c r="K35" s="236"/>
      <c r="L35" s="171"/>
      <c r="M35" s="171">
        <v>90</v>
      </c>
      <c r="N35" s="171"/>
      <c r="O35" s="171"/>
      <c r="P35" s="179">
        <f ca="1">IF(NFI_Expiration=1,IF($A35&lt;VLOOKUP(H$5,NFI,5,0),1,0)*Table_NFI[[#This Row],[Hygiene Kit]],Table_NFI[[#This Row],[Hygiene Kit]])</f>
        <v>0</v>
      </c>
      <c r="Q35" s="179">
        <f ca="1">IF(NFI_Expiration=1,IF($A35&lt;VLOOKUP(I$5,NFI,5,0),1,0)*Table_NFI[[#This Row],[NFI Core Kit]],Table_NFI[[#This Row],[NFI Core Kit]])</f>
        <v>0</v>
      </c>
      <c r="R35" s="179">
        <f ca="1">IF(NFI_Expiration=1,IF($A35&lt;VLOOKUP(J$5,NFI,5,0),1,0)*Table_NFI[[#This Row],[Sanitary Kit]],Table_NFI[[#This Row],[Sanitary Kit]])</f>
        <v>0</v>
      </c>
      <c r="S35" s="179">
        <f ca="1">IF(NFI_Expiration=1,IF($A35&lt;VLOOKUP(K$5,NFI,5,0),1,0)*Table_NFI[[#This Row],[Mosquitoe net]],Table_NFI[[#This Row],[Mosquitoe net]])</f>
        <v>0</v>
      </c>
      <c r="T35" s="179">
        <f ca="1">IF(NFI_Expiration=1,IF($A35&lt;VLOOKUP(L$5,NFI,5,0),1,0)*Table_NFI[[#This Row],[Tarpaulin]],Table_NFI[[#This Row],[Tarpaulin]])</f>
        <v>0</v>
      </c>
      <c r="U35" s="179">
        <f ca="1">IF(NFI_Expiration=1,IF($A35&lt;VLOOKUP(M$5,NFI,5,0),1,0)*Table_NFI[[#This Row],[Blanket]],Table_NFI[[#This Row],[Blanket]])</f>
        <v>0</v>
      </c>
      <c r="V35" s="179">
        <f ca="1">IF(NFI_Expiration=1,IF($A35&lt;VLOOKUP(N$5,NFI,5,0),1,0)*Table_NFI[[#This Row],[Kitchen Set]],Table_NFI[[#This Row],[Kitchen Set]])</f>
        <v>0</v>
      </c>
      <c r="W35" s="179">
        <f ca="1">IF(NFI_Expiration=1,IF($A35&lt;VLOOKUP(O$5,NFI,5,0),1,0)*Table_NFI[[#This Row],[Complementary Kit]],Table_NFI[[#This Row],[Complementary Kit]])</f>
        <v>0</v>
      </c>
    </row>
    <row r="36" spans="1:23" ht="15">
      <c r="A36" s="125">
        <f ca="1" t="shared" si="1"/>
        <v>10.433333333333334</v>
      </c>
      <c r="B36" s="115">
        <v>41369</v>
      </c>
      <c r="C36" s="117" t="s">
        <v>960</v>
      </c>
      <c r="D36" s="91"/>
      <c r="E36" s="122" t="s">
        <v>434</v>
      </c>
      <c r="F36" s="1" t="s">
        <v>460</v>
      </c>
      <c r="G36" s="91" t="s">
        <v>518</v>
      </c>
      <c r="H36" s="91"/>
      <c r="I36" s="171"/>
      <c r="J36" s="171"/>
      <c r="K36" s="236"/>
      <c r="L36" s="171"/>
      <c r="M36" s="171">
        <v>90</v>
      </c>
      <c r="N36" s="171"/>
      <c r="O36" s="171"/>
      <c r="P36" s="179">
        <f ca="1">IF(NFI_Expiration=1,IF($A36&lt;VLOOKUP(H$5,NFI,5,0),1,0)*Table_NFI[[#This Row],[Hygiene Kit]],Table_NFI[[#This Row],[Hygiene Kit]])</f>
        <v>0</v>
      </c>
      <c r="Q36" s="179">
        <f ca="1">IF(NFI_Expiration=1,IF($A36&lt;VLOOKUP(I$5,NFI,5,0),1,0)*Table_NFI[[#This Row],[NFI Core Kit]],Table_NFI[[#This Row],[NFI Core Kit]])</f>
        <v>0</v>
      </c>
      <c r="R36" s="179">
        <f ca="1">IF(NFI_Expiration=1,IF($A36&lt;VLOOKUP(J$5,NFI,5,0),1,0)*Table_NFI[[#This Row],[Sanitary Kit]],Table_NFI[[#This Row],[Sanitary Kit]])</f>
        <v>0</v>
      </c>
      <c r="S36" s="179">
        <f ca="1">IF(NFI_Expiration=1,IF($A36&lt;VLOOKUP(K$5,NFI,5,0),1,0)*Table_NFI[[#This Row],[Mosquitoe net]],Table_NFI[[#This Row],[Mosquitoe net]])</f>
        <v>0</v>
      </c>
      <c r="T36" s="179">
        <f ca="1">IF(NFI_Expiration=1,IF($A36&lt;VLOOKUP(L$5,NFI,5,0),1,0)*Table_NFI[[#This Row],[Tarpaulin]],Table_NFI[[#This Row],[Tarpaulin]])</f>
        <v>0</v>
      </c>
      <c r="U36" s="179">
        <f ca="1">IF(NFI_Expiration=1,IF($A36&lt;VLOOKUP(M$5,NFI,5,0),1,0)*Table_NFI[[#This Row],[Blanket]],Table_NFI[[#This Row],[Blanket]])</f>
        <v>0</v>
      </c>
      <c r="V36" s="179">
        <f ca="1">IF(NFI_Expiration=1,IF($A36&lt;VLOOKUP(N$5,NFI,5,0),1,0)*Table_NFI[[#This Row],[Kitchen Set]],Table_NFI[[#This Row],[Kitchen Set]])</f>
        <v>0</v>
      </c>
      <c r="W36" s="179">
        <f ca="1">IF(NFI_Expiration=1,IF($A36&lt;VLOOKUP(O$5,NFI,5,0),1,0)*Table_NFI[[#This Row],[Complementary Kit]],Table_NFI[[#This Row],[Complementary Kit]])</f>
        <v>0</v>
      </c>
    </row>
    <row r="37" spans="1:23" ht="15">
      <c r="A37" s="125">
        <f ca="1" t="shared" si="1"/>
        <v>10.466666666666667</v>
      </c>
      <c r="B37" s="115">
        <v>41368</v>
      </c>
      <c r="C37" s="117" t="s">
        <v>960</v>
      </c>
      <c r="D37" s="91"/>
      <c r="E37" s="122" t="s">
        <v>434</v>
      </c>
      <c r="F37" s="1" t="s">
        <v>460</v>
      </c>
      <c r="G37" s="91" t="s">
        <v>518</v>
      </c>
      <c r="H37" s="91"/>
      <c r="I37" s="171"/>
      <c r="J37" s="171"/>
      <c r="K37" s="236"/>
      <c r="L37" s="171"/>
      <c r="M37" s="171">
        <v>45</v>
      </c>
      <c r="N37" s="171"/>
      <c r="O37" s="171"/>
      <c r="P37" s="179">
        <f ca="1">IF(NFI_Expiration=1,IF($A37&lt;VLOOKUP(H$5,NFI,5,0),1,0)*Table_NFI[[#This Row],[Hygiene Kit]],Table_NFI[[#This Row],[Hygiene Kit]])</f>
        <v>0</v>
      </c>
      <c r="Q37" s="179">
        <f ca="1">IF(NFI_Expiration=1,IF($A37&lt;VLOOKUP(I$5,NFI,5,0),1,0)*Table_NFI[[#This Row],[NFI Core Kit]],Table_NFI[[#This Row],[NFI Core Kit]])</f>
        <v>0</v>
      </c>
      <c r="R37" s="179">
        <f ca="1">IF(NFI_Expiration=1,IF($A37&lt;VLOOKUP(J$5,NFI,5,0),1,0)*Table_NFI[[#This Row],[Sanitary Kit]],Table_NFI[[#This Row],[Sanitary Kit]])</f>
        <v>0</v>
      </c>
      <c r="S37" s="179">
        <f ca="1">IF(NFI_Expiration=1,IF($A37&lt;VLOOKUP(K$5,NFI,5,0),1,0)*Table_NFI[[#This Row],[Mosquitoe net]],Table_NFI[[#This Row],[Mosquitoe net]])</f>
        <v>0</v>
      </c>
      <c r="T37" s="179">
        <f ca="1">IF(NFI_Expiration=1,IF($A37&lt;VLOOKUP(L$5,NFI,5,0),1,0)*Table_NFI[[#This Row],[Tarpaulin]],Table_NFI[[#This Row],[Tarpaulin]])</f>
        <v>0</v>
      </c>
      <c r="U37" s="179">
        <f ca="1">IF(NFI_Expiration=1,IF($A37&lt;VLOOKUP(M$5,NFI,5,0),1,0)*Table_NFI[[#This Row],[Blanket]],Table_NFI[[#This Row],[Blanket]])</f>
        <v>0</v>
      </c>
      <c r="V37" s="179">
        <f ca="1">IF(NFI_Expiration=1,IF($A37&lt;VLOOKUP(N$5,NFI,5,0),1,0)*Table_NFI[[#This Row],[Kitchen Set]],Table_NFI[[#This Row],[Kitchen Set]])</f>
        <v>0</v>
      </c>
      <c r="W37" s="179">
        <f ca="1">IF(NFI_Expiration=1,IF($A37&lt;VLOOKUP(O$5,NFI,5,0),1,0)*Table_NFI[[#This Row],[Complementary Kit]],Table_NFI[[#This Row],[Complementary Kit]])</f>
        <v>0</v>
      </c>
    </row>
    <row r="38" spans="1:23" ht="15">
      <c r="A38" s="125">
        <f ca="1" t="shared" si="1"/>
        <v>10.5</v>
      </c>
      <c r="B38" s="115">
        <v>41367</v>
      </c>
      <c r="C38" s="117" t="s">
        <v>960</v>
      </c>
      <c r="D38" s="91"/>
      <c r="E38" s="122" t="s">
        <v>434</v>
      </c>
      <c r="F38" s="1" t="s">
        <v>460</v>
      </c>
      <c r="G38" s="91" t="s">
        <v>518</v>
      </c>
      <c r="H38" s="91"/>
      <c r="I38" s="171"/>
      <c r="J38" s="171"/>
      <c r="K38" s="236"/>
      <c r="L38" s="171"/>
      <c r="M38" s="171">
        <v>45</v>
      </c>
      <c r="N38" s="171"/>
      <c r="O38" s="171"/>
      <c r="P38" s="179">
        <f ca="1">IF(NFI_Expiration=1,IF($A38&lt;VLOOKUP(H$5,NFI,5,0),1,0)*Table_NFI[[#This Row],[Hygiene Kit]],Table_NFI[[#This Row],[Hygiene Kit]])</f>
        <v>0</v>
      </c>
      <c r="Q38" s="179">
        <f ca="1">IF(NFI_Expiration=1,IF($A38&lt;VLOOKUP(I$5,NFI,5,0),1,0)*Table_NFI[[#This Row],[NFI Core Kit]],Table_NFI[[#This Row],[NFI Core Kit]])</f>
        <v>0</v>
      </c>
      <c r="R38" s="179">
        <f ca="1">IF(NFI_Expiration=1,IF($A38&lt;VLOOKUP(J$5,NFI,5,0),1,0)*Table_NFI[[#This Row],[Sanitary Kit]],Table_NFI[[#This Row],[Sanitary Kit]])</f>
        <v>0</v>
      </c>
      <c r="S38" s="179">
        <f ca="1">IF(NFI_Expiration=1,IF($A38&lt;VLOOKUP(K$5,NFI,5,0),1,0)*Table_NFI[[#This Row],[Mosquitoe net]],Table_NFI[[#This Row],[Mosquitoe net]])</f>
        <v>0</v>
      </c>
      <c r="T38" s="179">
        <f ca="1">IF(NFI_Expiration=1,IF($A38&lt;VLOOKUP(L$5,NFI,5,0),1,0)*Table_NFI[[#This Row],[Tarpaulin]],Table_NFI[[#This Row],[Tarpaulin]])</f>
        <v>0</v>
      </c>
      <c r="U38" s="179">
        <f ca="1">IF(NFI_Expiration=1,IF($A38&lt;VLOOKUP(M$5,NFI,5,0),1,0)*Table_NFI[[#This Row],[Blanket]],Table_NFI[[#This Row],[Blanket]])</f>
        <v>0</v>
      </c>
      <c r="V38" s="179">
        <f ca="1">IF(NFI_Expiration=1,IF($A38&lt;VLOOKUP(N$5,NFI,5,0),1,0)*Table_NFI[[#This Row],[Kitchen Set]],Table_NFI[[#This Row],[Kitchen Set]])</f>
        <v>0</v>
      </c>
      <c r="W38" s="179">
        <f ca="1">IF(NFI_Expiration=1,IF($A38&lt;VLOOKUP(O$5,NFI,5,0),1,0)*Table_NFI[[#This Row],[Complementary Kit]],Table_NFI[[#This Row],[Complementary Kit]])</f>
        <v>0</v>
      </c>
    </row>
    <row r="39" spans="1:23" ht="15">
      <c r="A39" s="125">
        <f ca="1" t="shared" si="1"/>
        <v>11.166666666666666</v>
      </c>
      <c r="B39" s="115">
        <v>41347</v>
      </c>
      <c r="C39" s="91" t="s">
        <v>960</v>
      </c>
      <c r="D39" s="91"/>
      <c r="E39" s="91" t="s">
        <v>434</v>
      </c>
      <c r="F39" s="1" t="s">
        <v>461</v>
      </c>
      <c r="G39" s="91" t="s">
        <v>551</v>
      </c>
      <c r="H39" s="91">
        <v>0</v>
      </c>
      <c r="I39" s="171">
        <v>79</v>
      </c>
      <c r="J39" s="171">
        <v>158</v>
      </c>
      <c r="K39" s="236">
        <v>292</v>
      </c>
      <c r="L39" s="171">
        <v>79</v>
      </c>
      <c r="M39" s="171">
        <v>0</v>
      </c>
      <c r="N39" s="171"/>
      <c r="O39" s="171"/>
      <c r="P39" s="179">
        <f ca="1">IF(NFI_Expiration=1,IF($A39&lt;VLOOKUP(H$5,NFI,5,0),1,0)*Table_NFI[[#This Row],[Hygiene Kit]],Table_NFI[[#This Row],[Hygiene Kit]])</f>
        <v>0</v>
      </c>
      <c r="Q39" s="179">
        <f ca="1">IF(NFI_Expiration=1,IF($A39&lt;VLOOKUP(I$5,NFI,5,0),1,0)*Table_NFI[[#This Row],[NFI Core Kit]],Table_NFI[[#This Row],[NFI Core Kit]])</f>
        <v>0</v>
      </c>
      <c r="R39" s="179">
        <f ca="1">IF(NFI_Expiration=1,IF($A39&lt;VLOOKUP(J$5,NFI,5,0),1,0)*Table_NFI[[#This Row],[Sanitary Kit]],Table_NFI[[#This Row],[Sanitary Kit]])</f>
        <v>0</v>
      </c>
      <c r="S39" s="179">
        <f ca="1">IF(NFI_Expiration=1,IF($A39&lt;VLOOKUP(K$5,NFI,5,0),1,0)*Table_NFI[[#This Row],[Mosquitoe net]],Table_NFI[[#This Row],[Mosquitoe net]])</f>
        <v>0</v>
      </c>
      <c r="T39" s="179">
        <f ca="1">IF(NFI_Expiration=1,IF($A39&lt;VLOOKUP(L$5,NFI,5,0),1,0)*Table_NFI[[#This Row],[Tarpaulin]],Table_NFI[[#This Row],[Tarpaulin]])</f>
        <v>0</v>
      </c>
      <c r="U39" s="179">
        <f ca="1">IF(NFI_Expiration=1,IF($A39&lt;VLOOKUP(M$5,NFI,5,0),1,0)*Table_NFI[[#This Row],[Blanket]],Table_NFI[[#This Row],[Blanket]])</f>
        <v>0</v>
      </c>
      <c r="V39" s="179">
        <f ca="1">IF(NFI_Expiration=1,IF($A39&lt;VLOOKUP(N$5,NFI,5,0),1,0)*Table_NFI[[#This Row],[Kitchen Set]],Table_NFI[[#This Row],[Kitchen Set]])</f>
        <v>0</v>
      </c>
      <c r="W39" s="179">
        <f ca="1">IF(NFI_Expiration=1,IF($A39&lt;VLOOKUP(O$5,NFI,5,0),1,0)*Table_NFI[[#This Row],[Complementary Kit]],Table_NFI[[#This Row],[Complementary Kit]])</f>
        <v>0</v>
      </c>
    </row>
    <row r="40" spans="1:23" ht="15">
      <c r="A40" s="125">
        <f ca="1" t="shared" si="1"/>
        <v>11.166666666666666</v>
      </c>
      <c r="B40" s="115">
        <v>41347</v>
      </c>
      <c r="C40" s="91" t="s">
        <v>960</v>
      </c>
      <c r="D40" s="91"/>
      <c r="E40" s="91" t="s">
        <v>434</v>
      </c>
      <c r="F40" s="1" t="s">
        <v>457</v>
      </c>
      <c r="G40" s="91" t="s">
        <v>499</v>
      </c>
      <c r="H40" s="91">
        <v>0</v>
      </c>
      <c r="I40" s="171">
        <v>68</v>
      </c>
      <c r="J40" s="171">
        <v>136</v>
      </c>
      <c r="K40" s="236">
        <v>136</v>
      </c>
      <c r="L40" s="171">
        <v>68</v>
      </c>
      <c r="M40" s="171">
        <v>0</v>
      </c>
      <c r="N40" s="171"/>
      <c r="O40" s="171"/>
      <c r="P40" s="179">
        <f ca="1">IF(NFI_Expiration=1,IF($A40&lt;VLOOKUP(H$5,NFI,5,0),1,0)*Table_NFI[[#This Row],[Hygiene Kit]],Table_NFI[[#This Row],[Hygiene Kit]])</f>
        <v>0</v>
      </c>
      <c r="Q40" s="179">
        <f ca="1">IF(NFI_Expiration=1,IF($A40&lt;VLOOKUP(I$5,NFI,5,0),1,0)*Table_NFI[[#This Row],[NFI Core Kit]],Table_NFI[[#This Row],[NFI Core Kit]])</f>
        <v>0</v>
      </c>
      <c r="R40" s="179">
        <f ca="1">IF(NFI_Expiration=1,IF($A40&lt;VLOOKUP(J$5,NFI,5,0),1,0)*Table_NFI[[#This Row],[Sanitary Kit]],Table_NFI[[#This Row],[Sanitary Kit]])</f>
        <v>0</v>
      </c>
      <c r="S40" s="179">
        <f ca="1">IF(NFI_Expiration=1,IF($A40&lt;VLOOKUP(K$5,NFI,5,0),1,0)*Table_NFI[[#This Row],[Mosquitoe net]],Table_NFI[[#This Row],[Mosquitoe net]])</f>
        <v>0</v>
      </c>
      <c r="T40" s="179">
        <f ca="1">IF(NFI_Expiration=1,IF($A40&lt;VLOOKUP(L$5,NFI,5,0),1,0)*Table_NFI[[#This Row],[Tarpaulin]],Table_NFI[[#This Row],[Tarpaulin]])</f>
        <v>0</v>
      </c>
      <c r="U40" s="179">
        <f ca="1">IF(NFI_Expiration=1,IF($A40&lt;VLOOKUP(M$5,NFI,5,0),1,0)*Table_NFI[[#This Row],[Blanket]],Table_NFI[[#This Row],[Blanket]])</f>
        <v>0</v>
      </c>
      <c r="V40" s="179">
        <f ca="1">IF(NFI_Expiration=1,IF($A40&lt;VLOOKUP(N$5,NFI,5,0),1,0)*Table_NFI[[#This Row],[Kitchen Set]],Table_NFI[[#This Row],[Kitchen Set]])</f>
        <v>0</v>
      </c>
      <c r="W40" s="179">
        <f ca="1">IF(NFI_Expiration=1,IF($A40&lt;VLOOKUP(O$5,NFI,5,0),1,0)*Table_NFI[[#This Row],[Complementary Kit]],Table_NFI[[#This Row],[Complementary Kit]])</f>
        <v>0</v>
      </c>
    </row>
    <row r="41" spans="1:23" ht="15">
      <c r="A41" s="125">
        <f ca="1" t="shared" si="1"/>
        <v>11.466666666666667</v>
      </c>
      <c r="B41" s="115">
        <v>41338</v>
      </c>
      <c r="C41" s="91" t="s">
        <v>960</v>
      </c>
      <c r="D41" s="91"/>
      <c r="E41" s="91" t="s">
        <v>434</v>
      </c>
      <c r="F41" s="1" t="s">
        <v>461</v>
      </c>
      <c r="G41" s="91" t="s">
        <v>550</v>
      </c>
      <c r="H41" s="91">
        <v>0</v>
      </c>
      <c r="I41" s="171">
        <v>0</v>
      </c>
      <c r="J41" s="171">
        <v>0</v>
      </c>
      <c r="K41" s="236">
        <v>34</v>
      </c>
      <c r="L41" s="171">
        <v>0</v>
      </c>
      <c r="M41" s="171">
        <v>0</v>
      </c>
      <c r="N41" s="171"/>
      <c r="O41" s="171"/>
      <c r="P41" s="179">
        <f ca="1">IF(NFI_Expiration=1,IF($A41&lt;VLOOKUP(H$5,NFI,5,0),1,0)*Table_NFI[[#This Row],[Hygiene Kit]],Table_NFI[[#This Row],[Hygiene Kit]])</f>
        <v>0</v>
      </c>
      <c r="Q41" s="179">
        <f ca="1">IF(NFI_Expiration=1,IF($A41&lt;VLOOKUP(I$5,NFI,5,0),1,0)*Table_NFI[[#This Row],[NFI Core Kit]],Table_NFI[[#This Row],[NFI Core Kit]])</f>
        <v>0</v>
      </c>
      <c r="R41" s="179">
        <f ca="1">IF(NFI_Expiration=1,IF($A41&lt;VLOOKUP(J$5,NFI,5,0),1,0)*Table_NFI[[#This Row],[Sanitary Kit]],Table_NFI[[#This Row],[Sanitary Kit]])</f>
        <v>0</v>
      </c>
      <c r="S41" s="179">
        <f ca="1">IF(NFI_Expiration=1,IF($A41&lt;VLOOKUP(K$5,NFI,5,0),1,0)*Table_NFI[[#This Row],[Mosquitoe net]],Table_NFI[[#This Row],[Mosquitoe net]])</f>
        <v>0</v>
      </c>
      <c r="T41" s="179">
        <f ca="1">IF(NFI_Expiration=1,IF($A41&lt;VLOOKUP(L$5,NFI,5,0),1,0)*Table_NFI[[#This Row],[Tarpaulin]],Table_NFI[[#This Row],[Tarpaulin]])</f>
        <v>0</v>
      </c>
      <c r="U41" s="179">
        <f ca="1">IF(NFI_Expiration=1,IF($A41&lt;VLOOKUP(M$5,NFI,5,0),1,0)*Table_NFI[[#This Row],[Blanket]],Table_NFI[[#This Row],[Blanket]])</f>
        <v>0</v>
      </c>
      <c r="V41" s="179">
        <f ca="1">IF(NFI_Expiration=1,IF($A41&lt;VLOOKUP(N$5,NFI,5,0),1,0)*Table_NFI[[#This Row],[Kitchen Set]],Table_NFI[[#This Row],[Kitchen Set]])</f>
        <v>0</v>
      </c>
      <c r="W41" s="179">
        <f ca="1">IF(NFI_Expiration=1,IF($A41&lt;VLOOKUP(O$5,NFI,5,0),1,0)*Table_NFI[[#This Row],[Complementary Kit]],Table_NFI[[#This Row],[Complementary Kit]])</f>
        <v>0</v>
      </c>
    </row>
    <row r="42" spans="1:23" ht="15">
      <c r="A42" s="125">
        <f ca="1" t="shared" si="1"/>
        <v>11.533333333333333</v>
      </c>
      <c r="B42" s="115">
        <v>41336</v>
      </c>
      <c r="C42" s="117" t="s">
        <v>960</v>
      </c>
      <c r="D42" s="91"/>
      <c r="E42" s="122" t="s">
        <v>434</v>
      </c>
      <c r="F42" s="1" t="s">
        <v>452</v>
      </c>
      <c r="G42" s="91" t="s">
        <v>474</v>
      </c>
      <c r="H42" s="91"/>
      <c r="I42" s="171"/>
      <c r="J42" s="171"/>
      <c r="K42" s="171"/>
      <c r="L42" s="171"/>
      <c r="M42" s="171">
        <v>33</v>
      </c>
      <c r="N42" s="171"/>
      <c r="O42" s="171"/>
      <c r="P42" s="179">
        <f ca="1">IF(NFI_Expiration=1,IF($A42&lt;VLOOKUP(H$5,NFI,5,0),1,0)*Table_NFI[[#This Row],[Hygiene Kit]],Table_NFI[[#This Row],[Hygiene Kit]])</f>
        <v>0</v>
      </c>
      <c r="Q42" s="179">
        <f ca="1">IF(NFI_Expiration=1,IF($A42&lt;VLOOKUP(I$5,NFI,5,0),1,0)*Table_NFI[[#This Row],[NFI Core Kit]],Table_NFI[[#This Row],[NFI Core Kit]])</f>
        <v>0</v>
      </c>
      <c r="R42" s="179">
        <f ca="1">IF(NFI_Expiration=1,IF($A42&lt;VLOOKUP(J$5,NFI,5,0),1,0)*Table_NFI[[#This Row],[Sanitary Kit]],Table_NFI[[#This Row],[Sanitary Kit]])</f>
        <v>0</v>
      </c>
      <c r="S42" s="179">
        <f ca="1">IF(NFI_Expiration=1,IF($A42&lt;VLOOKUP(K$5,NFI,5,0),1,0)*Table_NFI[[#This Row],[Mosquitoe net]],Table_NFI[[#This Row],[Mosquitoe net]])</f>
        <v>0</v>
      </c>
      <c r="T42" s="179">
        <f ca="1">IF(NFI_Expiration=1,IF($A42&lt;VLOOKUP(L$5,NFI,5,0),1,0)*Table_NFI[[#This Row],[Tarpaulin]],Table_NFI[[#This Row],[Tarpaulin]])</f>
        <v>0</v>
      </c>
      <c r="U42" s="179">
        <f ca="1">IF(NFI_Expiration=1,IF($A42&lt;VLOOKUP(M$5,NFI,5,0),1,0)*Table_NFI[[#This Row],[Blanket]],Table_NFI[[#This Row],[Blanket]])</f>
        <v>0</v>
      </c>
      <c r="V42" s="179">
        <f ca="1">IF(NFI_Expiration=1,IF($A42&lt;VLOOKUP(N$5,NFI,5,0),1,0)*Table_NFI[[#This Row],[Kitchen Set]],Table_NFI[[#This Row],[Kitchen Set]])</f>
        <v>0</v>
      </c>
      <c r="W42" s="179">
        <f ca="1">IF(NFI_Expiration=1,IF($A42&lt;VLOOKUP(O$5,NFI,5,0),1,0)*Table_NFI[[#This Row],[Complementary Kit]],Table_NFI[[#This Row],[Complementary Kit]])</f>
        <v>0</v>
      </c>
    </row>
    <row r="43" spans="1:23" ht="15">
      <c r="A43" s="125">
        <f ca="1" t="shared" si="1"/>
        <v>11.533333333333333</v>
      </c>
      <c r="B43" s="115">
        <v>41336</v>
      </c>
      <c r="C43" s="117" t="s">
        <v>960</v>
      </c>
      <c r="D43" s="91"/>
      <c r="E43" s="122" t="s">
        <v>434</v>
      </c>
      <c r="F43" s="1" t="s">
        <v>456</v>
      </c>
      <c r="G43" s="91" t="s">
        <v>490</v>
      </c>
      <c r="H43" s="91"/>
      <c r="I43" s="171"/>
      <c r="J43" s="171"/>
      <c r="K43" s="171"/>
      <c r="L43" s="171"/>
      <c r="M43" s="171">
        <v>83</v>
      </c>
      <c r="N43" s="171"/>
      <c r="O43" s="171"/>
      <c r="P43" s="179">
        <f ca="1">IF(NFI_Expiration=1,IF($A43&lt;VLOOKUP(H$5,NFI,5,0),1,0)*Table_NFI[[#This Row],[Hygiene Kit]],Table_NFI[[#This Row],[Hygiene Kit]])</f>
        <v>0</v>
      </c>
      <c r="Q43" s="179">
        <f ca="1">IF(NFI_Expiration=1,IF($A43&lt;VLOOKUP(I$5,NFI,5,0),1,0)*Table_NFI[[#This Row],[NFI Core Kit]],Table_NFI[[#This Row],[NFI Core Kit]])</f>
        <v>0</v>
      </c>
      <c r="R43" s="179">
        <f ca="1">IF(NFI_Expiration=1,IF($A43&lt;VLOOKUP(J$5,NFI,5,0),1,0)*Table_NFI[[#This Row],[Sanitary Kit]],Table_NFI[[#This Row],[Sanitary Kit]])</f>
        <v>0</v>
      </c>
      <c r="S43" s="179">
        <f ca="1">IF(NFI_Expiration=1,IF($A43&lt;VLOOKUP(K$5,NFI,5,0),1,0)*Table_NFI[[#This Row],[Mosquitoe net]],Table_NFI[[#This Row],[Mosquitoe net]])</f>
        <v>0</v>
      </c>
      <c r="T43" s="179">
        <f ca="1">IF(NFI_Expiration=1,IF($A43&lt;VLOOKUP(L$5,NFI,5,0),1,0)*Table_NFI[[#This Row],[Tarpaulin]],Table_NFI[[#This Row],[Tarpaulin]])</f>
        <v>0</v>
      </c>
      <c r="U43" s="179">
        <f ca="1">IF(NFI_Expiration=1,IF($A43&lt;VLOOKUP(M$5,NFI,5,0),1,0)*Table_NFI[[#This Row],[Blanket]],Table_NFI[[#This Row],[Blanket]])</f>
        <v>0</v>
      </c>
      <c r="V43" s="179">
        <f ca="1">IF(NFI_Expiration=1,IF($A43&lt;VLOOKUP(N$5,NFI,5,0),1,0)*Table_NFI[[#This Row],[Kitchen Set]],Table_NFI[[#This Row],[Kitchen Set]])</f>
        <v>0</v>
      </c>
      <c r="W43" s="179">
        <f ca="1">IF(NFI_Expiration=1,IF($A43&lt;VLOOKUP(O$5,NFI,5,0),1,0)*Table_NFI[[#This Row],[Complementary Kit]],Table_NFI[[#This Row],[Complementary Kit]])</f>
        <v>0</v>
      </c>
    </row>
    <row r="44" spans="1:23" ht="15">
      <c r="A44" s="125">
        <f ca="1" t="shared" si="1"/>
        <v>11.6</v>
      </c>
      <c r="B44" s="115">
        <v>41334</v>
      </c>
      <c r="C44" s="91" t="s">
        <v>960</v>
      </c>
      <c r="D44" s="91"/>
      <c r="E44" s="91" t="s">
        <v>434</v>
      </c>
      <c r="F44" s="1" t="s">
        <v>461</v>
      </c>
      <c r="G44" s="91" t="s">
        <v>553</v>
      </c>
      <c r="H44" s="91">
        <v>0</v>
      </c>
      <c r="I44" s="171">
        <v>51</v>
      </c>
      <c r="J44" s="171">
        <v>102</v>
      </c>
      <c r="K44" s="236">
        <v>156</v>
      </c>
      <c r="L44" s="171">
        <v>51</v>
      </c>
      <c r="M44" s="171">
        <v>0</v>
      </c>
      <c r="N44" s="171"/>
      <c r="O44" s="171"/>
      <c r="P44" s="179">
        <f ca="1">IF(NFI_Expiration=1,IF($A44&lt;VLOOKUP(H$5,NFI,5,0),1,0)*Table_NFI[[#This Row],[Hygiene Kit]],Table_NFI[[#This Row],[Hygiene Kit]])</f>
        <v>0</v>
      </c>
      <c r="Q44" s="179">
        <f ca="1">IF(NFI_Expiration=1,IF($A44&lt;VLOOKUP(I$5,NFI,5,0),1,0)*Table_NFI[[#This Row],[NFI Core Kit]],Table_NFI[[#This Row],[NFI Core Kit]])</f>
        <v>0</v>
      </c>
      <c r="R44" s="179">
        <f ca="1">IF(NFI_Expiration=1,IF($A44&lt;VLOOKUP(J$5,NFI,5,0),1,0)*Table_NFI[[#This Row],[Sanitary Kit]],Table_NFI[[#This Row],[Sanitary Kit]])</f>
        <v>0</v>
      </c>
      <c r="S44" s="179">
        <f ca="1">IF(NFI_Expiration=1,IF($A44&lt;VLOOKUP(K$5,NFI,5,0),1,0)*Table_NFI[[#This Row],[Mosquitoe net]],Table_NFI[[#This Row],[Mosquitoe net]])</f>
        <v>0</v>
      </c>
      <c r="T44" s="179">
        <f ca="1">IF(NFI_Expiration=1,IF($A44&lt;VLOOKUP(L$5,NFI,5,0),1,0)*Table_NFI[[#This Row],[Tarpaulin]],Table_NFI[[#This Row],[Tarpaulin]])</f>
        <v>0</v>
      </c>
      <c r="U44" s="179">
        <f ca="1">IF(NFI_Expiration=1,IF($A44&lt;VLOOKUP(M$5,NFI,5,0),1,0)*Table_NFI[[#This Row],[Blanket]],Table_NFI[[#This Row],[Blanket]])</f>
        <v>0</v>
      </c>
      <c r="V44" s="179">
        <f ca="1">IF(NFI_Expiration=1,IF($A44&lt;VLOOKUP(N$5,NFI,5,0),1,0)*Table_NFI[[#This Row],[Kitchen Set]],Table_NFI[[#This Row],[Kitchen Set]])</f>
        <v>0</v>
      </c>
      <c r="W44" s="179">
        <f ca="1">IF(NFI_Expiration=1,IF($A44&lt;VLOOKUP(O$5,NFI,5,0),1,0)*Table_NFI[[#This Row],[Complementary Kit]],Table_NFI[[#This Row],[Complementary Kit]])</f>
        <v>0</v>
      </c>
    </row>
    <row r="45" spans="1:23" ht="15">
      <c r="A45" s="125">
        <f ca="1" t="shared" si="1"/>
        <v>11.666666666666666</v>
      </c>
      <c r="B45" s="115">
        <v>41332</v>
      </c>
      <c r="C45" s="91" t="s">
        <v>960</v>
      </c>
      <c r="D45" s="91"/>
      <c r="E45" s="91" t="s">
        <v>434</v>
      </c>
      <c r="F45" s="1" t="s">
        <v>461</v>
      </c>
      <c r="G45" s="91" t="s">
        <v>551</v>
      </c>
      <c r="H45" s="91">
        <v>0</v>
      </c>
      <c r="I45" s="171">
        <v>50</v>
      </c>
      <c r="J45" s="171">
        <v>100</v>
      </c>
      <c r="K45" s="236">
        <v>171</v>
      </c>
      <c r="L45" s="171">
        <v>50</v>
      </c>
      <c r="M45" s="171">
        <v>0</v>
      </c>
      <c r="N45" s="171"/>
      <c r="O45" s="171"/>
      <c r="P45" s="179">
        <f ca="1">IF(NFI_Expiration=1,IF($A45&lt;VLOOKUP(H$5,NFI,5,0),1,0)*Table_NFI[[#This Row],[Hygiene Kit]],Table_NFI[[#This Row],[Hygiene Kit]])</f>
        <v>0</v>
      </c>
      <c r="Q45" s="179">
        <f ca="1">IF(NFI_Expiration=1,IF($A45&lt;VLOOKUP(I$5,NFI,5,0),1,0)*Table_NFI[[#This Row],[NFI Core Kit]],Table_NFI[[#This Row],[NFI Core Kit]])</f>
        <v>0</v>
      </c>
      <c r="R45" s="179">
        <f ca="1">IF(NFI_Expiration=1,IF($A45&lt;VLOOKUP(J$5,NFI,5,0),1,0)*Table_NFI[[#This Row],[Sanitary Kit]],Table_NFI[[#This Row],[Sanitary Kit]])</f>
        <v>0</v>
      </c>
      <c r="S45" s="179">
        <f ca="1">IF(NFI_Expiration=1,IF($A45&lt;VLOOKUP(K$5,NFI,5,0),1,0)*Table_NFI[[#This Row],[Mosquitoe net]],Table_NFI[[#This Row],[Mosquitoe net]])</f>
        <v>0</v>
      </c>
      <c r="T45" s="179">
        <f ca="1">IF(NFI_Expiration=1,IF($A45&lt;VLOOKUP(L$5,NFI,5,0),1,0)*Table_NFI[[#This Row],[Tarpaulin]],Table_NFI[[#This Row],[Tarpaulin]])</f>
        <v>0</v>
      </c>
      <c r="U45" s="179">
        <f ca="1">IF(NFI_Expiration=1,IF($A45&lt;VLOOKUP(M$5,NFI,5,0),1,0)*Table_NFI[[#This Row],[Blanket]],Table_NFI[[#This Row],[Blanket]])</f>
        <v>0</v>
      </c>
      <c r="V45" s="179">
        <f ca="1">IF(NFI_Expiration=1,IF($A45&lt;VLOOKUP(N$5,NFI,5,0),1,0)*Table_NFI[[#This Row],[Kitchen Set]],Table_NFI[[#This Row],[Kitchen Set]])</f>
        <v>0</v>
      </c>
      <c r="W45" s="179">
        <f ca="1">IF(NFI_Expiration=1,IF($A45&lt;VLOOKUP(O$5,NFI,5,0),1,0)*Table_NFI[[#This Row],[Complementary Kit]],Table_NFI[[#This Row],[Complementary Kit]])</f>
        <v>0</v>
      </c>
    </row>
    <row r="46" spans="1:23" ht="15">
      <c r="A46" s="125">
        <f ca="1" t="shared" si="1"/>
        <v>11.666666666666666</v>
      </c>
      <c r="B46" s="116">
        <v>41332</v>
      </c>
      <c r="C46" s="117" t="s">
        <v>961</v>
      </c>
      <c r="D46" s="91"/>
      <c r="E46" s="91" t="s">
        <v>434</v>
      </c>
      <c r="F46" s="117" t="s">
        <v>460</v>
      </c>
      <c r="G46" s="157" t="s">
        <v>523</v>
      </c>
      <c r="H46" s="118">
        <v>0</v>
      </c>
      <c r="I46" s="172">
        <v>200</v>
      </c>
      <c r="J46" s="171"/>
      <c r="K46" s="236"/>
      <c r="L46" s="171"/>
      <c r="M46" s="171"/>
      <c r="N46" s="171"/>
      <c r="O46" s="171"/>
      <c r="P46" s="179">
        <f ca="1">IF(NFI_Expiration=1,IF($A46&lt;VLOOKUP(H$5,NFI,5,0),1,0)*Table_NFI[[#This Row],[Hygiene Kit]],Table_NFI[[#This Row],[Hygiene Kit]])</f>
        <v>0</v>
      </c>
      <c r="Q46" s="179">
        <f ca="1">IF(NFI_Expiration=1,IF($A46&lt;VLOOKUP(I$5,NFI,5,0),1,0)*Table_NFI[[#This Row],[NFI Core Kit]],Table_NFI[[#This Row],[NFI Core Kit]])</f>
        <v>0</v>
      </c>
      <c r="R46" s="179">
        <f ca="1">IF(NFI_Expiration=1,IF($A46&lt;VLOOKUP(J$5,NFI,5,0),1,0)*Table_NFI[[#This Row],[Sanitary Kit]],Table_NFI[[#This Row],[Sanitary Kit]])</f>
        <v>0</v>
      </c>
      <c r="S46" s="179">
        <f ca="1">IF(NFI_Expiration=1,IF($A46&lt;VLOOKUP(K$5,NFI,5,0),1,0)*Table_NFI[[#This Row],[Mosquitoe net]],Table_NFI[[#This Row],[Mosquitoe net]])</f>
        <v>0</v>
      </c>
      <c r="T46" s="179">
        <f ca="1">IF(NFI_Expiration=1,IF($A46&lt;VLOOKUP(L$5,NFI,5,0),1,0)*Table_NFI[[#This Row],[Tarpaulin]],Table_NFI[[#This Row],[Tarpaulin]])</f>
        <v>0</v>
      </c>
      <c r="U46" s="179">
        <f ca="1">IF(NFI_Expiration=1,IF($A46&lt;VLOOKUP(M$5,NFI,5,0),1,0)*Table_NFI[[#This Row],[Blanket]],Table_NFI[[#This Row],[Blanket]])</f>
        <v>0</v>
      </c>
      <c r="V46" s="179">
        <f ca="1">IF(NFI_Expiration=1,IF($A46&lt;VLOOKUP(N$5,NFI,5,0),1,0)*Table_NFI[[#This Row],[Kitchen Set]],Table_NFI[[#This Row],[Kitchen Set]])</f>
        <v>0</v>
      </c>
      <c r="W46" s="179">
        <f ca="1">IF(NFI_Expiration=1,IF($A46&lt;VLOOKUP(O$5,NFI,5,0),1,0)*Table_NFI[[#This Row],[Complementary Kit]],Table_NFI[[#This Row],[Complementary Kit]])</f>
        <v>0</v>
      </c>
    </row>
    <row r="47" spans="1:23" ht="15">
      <c r="A47" s="125">
        <f ca="1" t="shared" si="1"/>
        <v>11.666666666666666</v>
      </c>
      <c r="B47" s="116">
        <v>41332</v>
      </c>
      <c r="C47" s="117" t="s">
        <v>961</v>
      </c>
      <c r="D47" s="91"/>
      <c r="E47" s="91" t="s">
        <v>434</v>
      </c>
      <c r="F47" s="117" t="s">
        <v>460</v>
      </c>
      <c r="G47" s="157" t="s">
        <v>510</v>
      </c>
      <c r="H47" s="118">
        <v>0</v>
      </c>
      <c r="I47" s="172">
        <v>800</v>
      </c>
      <c r="J47" s="171"/>
      <c r="K47" s="236"/>
      <c r="L47" s="171"/>
      <c r="M47" s="171"/>
      <c r="N47" s="171"/>
      <c r="O47" s="171"/>
      <c r="P47" s="179">
        <f ca="1">IF(NFI_Expiration=1,IF($A47&lt;VLOOKUP(H$5,NFI,5,0),1,0)*Table_NFI[[#This Row],[Hygiene Kit]],Table_NFI[[#This Row],[Hygiene Kit]])</f>
        <v>0</v>
      </c>
      <c r="Q47" s="179">
        <f ca="1">IF(NFI_Expiration=1,IF($A47&lt;VLOOKUP(I$5,NFI,5,0),1,0)*Table_NFI[[#This Row],[NFI Core Kit]],Table_NFI[[#This Row],[NFI Core Kit]])</f>
        <v>0</v>
      </c>
      <c r="R47" s="179">
        <f ca="1">IF(NFI_Expiration=1,IF($A47&lt;VLOOKUP(J$5,NFI,5,0),1,0)*Table_NFI[[#This Row],[Sanitary Kit]],Table_NFI[[#This Row],[Sanitary Kit]])</f>
        <v>0</v>
      </c>
      <c r="S47" s="179">
        <f ca="1">IF(NFI_Expiration=1,IF($A47&lt;VLOOKUP(K$5,NFI,5,0),1,0)*Table_NFI[[#This Row],[Mosquitoe net]],Table_NFI[[#This Row],[Mosquitoe net]])</f>
        <v>0</v>
      </c>
      <c r="T47" s="179">
        <f ca="1">IF(NFI_Expiration=1,IF($A47&lt;VLOOKUP(L$5,NFI,5,0),1,0)*Table_NFI[[#This Row],[Tarpaulin]],Table_NFI[[#This Row],[Tarpaulin]])</f>
        <v>0</v>
      </c>
      <c r="U47" s="179">
        <f ca="1">IF(NFI_Expiration=1,IF($A47&lt;VLOOKUP(M$5,NFI,5,0),1,0)*Table_NFI[[#This Row],[Blanket]],Table_NFI[[#This Row],[Blanket]])</f>
        <v>0</v>
      </c>
      <c r="V47" s="179">
        <f ca="1">IF(NFI_Expiration=1,IF($A47&lt;VLOOKUP(N$5,NFI,5,0),1,0)*Table_NFI[[#This Row],[Kitchen Set]],Table_NFI[[#This Row],[Kitchen Set]])</f>
        <v>0</v>
      </c>
      <c r="W47" s="179">
        <f ca="1">IF(NFI_Expiration=1,IF($A47&lt;VLOOKUP(O$5,NFI,5,0),1,0)*Table_NFI[[#This Row],[Complementary Kit]],Table_NFI[[#This Row],[Complementary Kit]])</f>
        <v>0</v>
      </c>
    </row>
    <row r="48" spans="1:23" ht="15">
      <c r="A48" s="125">
        <f ca="1" t="shared" si="1"/>
        <v>11.833333333333334</v>
      </c>
      <c r="B48" s="115">
        <v>41327</v>
      </c>
      <c r="C48" s="91" t="s">
        <v>960</v>
      </c>
      <c r="D48" s="91"/>
      <c r="E48" s="91" t="s">
        <v>434</v>
      </c>
      <c r="F48" s="1" t="s">
        <v>461</v>
      </c>
      <c r="G48" s="91" t="s">
        <v>549</v>
      </c>
      <c r="H48" s="91">
        <v>0</v>
      </c>
      <c r="I48" s="171">
        <v>15</v>
      </c>
      <c r="J48" s="171">
        <v>30</v>
      </c>
      <c r="K48" s="236">
        <v>52</v>
      </c>
      <c r="L48" s="171">
        <v>15</v>
      </c>
      <c r="M48" s="171">
        <v>0</v>
      </c>
      <c r="N48" s="171"/>
      <c r="O48" s="171"/>
      <c r="P48" s="179">
        <f ca="1">IF(NFI_Expiration=1,IF($A48&lt;VLOOKUP(H$5,NFI,5,0),1,0)*Table_NFI[[#This Row],[Hygiene Kit]],Table_NFI[[#This Row],[Hygiene Kit]])</f>
        <v>0</v>
      </c>
      <c r="Q48" s="179">
        <f ca="1">IF(NFI_Expiration=1,IF($A48&lt;VLOOKUP(I$5,NFI,5,0),1,0)*Table_NFI[[#This Row],[NFI Core Kit]],Table_NFI[[#This Row],[NFI Core Kit]])</f>
        <v>0</v>
      </c>
      <c r="R48" s="179">
        <f ca="1">IF(NFI_Expiration=1,IF($A48&lt;VLOOKUP(J$5,NFI,5,0),1,0)*Table_NFI[[#This Row],[Sanitary Kit]],Table_NFI[[#This Row],[Sanitary Kit]])</f>
        <v>0</v>
      </c>
      <c r="S48" s="179">
        <f ca="1">IF(NFI_Expiration=1,IF($A48&lt;VLOOKUP(K$5,NFI,5,0),1,0)*Table_NFI[[#This Row],[Mosquitoe net]],Table_NFI[[#This Row],[Mosquitoe net]])</f>
        <v>0</v>
      </c>
      <c r="T48" s="179">
        <f ca="1">IF(NFI_Expiration=1,IF($A48&lt;VLOOKUP(L$5,NFI,5,0),1,0)*Table_NFI[[#This Row],[Tarpaulin]],Table_NFI[[#This Row],[Tarpaulin]])</f>
        <v>0</v>
      </c>
      <c r="U48" s="179">
        <f ca="1">IF(NFI_Expiration=1,IF($A48&lt;VLOOKUP(M$5,NFI,5,0),1,0)*Table_NFI[[#This Row],[Blanket]],Table_NFI[[#This Row],[Blanket]])</f>
        <v>0</v>
      </c>
      <c r="V48" s="179">
        <f ca="1">IF(NFI_Expiration=1,IF($A48&lt;VLOOKUP(N$5,NFI,5,0),1,0)*Table_NFI[[#This Row],[Kitchen Set]],Table_NFI[[#This Row],[Kitchen Set]])</f>
        <v>0</v>
      </c>
      <c r="W48" s="179">
        <f ca="1">IF(NFI_Expiration=1,IF($A48&lt;VLOOKUP(O$5,NFI,5,0),1,0)*Table_NFI[[#This Row],[Complementary Kit]],Table_NFI[[#This Row],[Complementary Kit]])</f>
        <v>0</v>
      </c>
    </row>
    <row r="49" spans="1:23" ht="15">
      <c r="A49" s="125">
        <f ca="1" t="shared" si="1"/>
        <v>11.833333333333334</v>
      </c>
      <c r="B49" s="116">
        <v>41327</v>
      </c>
      <c r="C49" s="117" t="s">
        <v>962</v>
      </c>
      <c r="D49" s="91"/>
      <c r="E49" s="91" t="s">
        <v>434</v>
      </c>
      <c r="F49" s="120" t="s">
        <v>455</v>
      </c>
      <c r="G49" s="120" t="s">
        <v>484</v>
      </c>
      <c r="H49" s="121">
        <v>1306</v>
      </c>
      <c r="I49" s="171">
        <v>0</v>
      </c>
      <c r="J49" s="171"/>
      <c r="K49" s="171"/>
      <c r="L49" s="171"/>
      <c r="M49" s="171"/>
      <c r="N49" s="171"/>
      <c r="O49" s="171"/>
      <c r="P49" s="179">
        <f ca="1">IF(NFI_Expiration=1,IF($A49&lt;VLOOKUP(H$5,NFI,5,0),1,0)*Table_NFI[[#This Row],[Hygiene Kit]],Table_NFI[[#This Row],[Hygiene Kit]])</f>
        <v>0</v>
      </c>
      <c r="Q49" s="179">
        <f ca="1">IF(NFI_Expiration=1,IF($A49&lt;VLOOKUP(I$5,NFI,5,0),1,0)*Table_NFI[[#This Row],[NFI Core Kit]],Table_NFI[[#This Row],[NFI Core Kit]])</f>
        <v>0</v>
      </c>
      <c r="R49" s="179">
        <f ca="1">IF(NFI_Expiration=1,IF($A49&lt;VLOOKUP(J$5,NFI,5,0),1,0)*Table_NFI[[#This Row],[Sanitary Kit]],Table_NFI[[#This Row],[Sanitary Kit]])</f>
        <v>0</v>
      </c>
      <c r="S49" s="179">
        <f ca="1">IF(NFI_Expiration=1,IF($A49&lt;VLOOKUP(K$5,NFI,5,0),1,0)*Table_NFI[[#This Row],[Mosquitoe net]],Table_NFI[[#This Row],[Mosquitoe net]])</f>
        <v>0</v>
      </c>
      <c r="T49" s="179">
        <f ca="1">IF(NFI_Expiration=1,IF($A49&lt;VLOOKUP(L$5,NFI,5,0),1,0)*Table_NFI[[#This Row],[Tarpaulin]],Table_NFI[[#This Row],[Tarpaulin]])</f>
        <v>0</v>
      </c>
      <c r="U49" s="179">
        <f ca="1">IF(NFI_Expiration=1,IF($A49&lt;VLOOKUP(M$5,NFI,5,0),1,0)*Table_NFI[[#This Row],[Blanket]],Table_NFI[[#This Row],[Blanket]])</f>
        <v>0</v>
      </c>
      <c r="V49" s="179">
        <f ca="1">IF(NFI_Expiration=1,IF($A49&lt;VLOOKUP(N$5,NFI,5,0),1,0)*Table_NFI[[#This Row],[Kitchen Set]],Table_NFI[[#This Row],[Kitchen Set]])</f>
        <v>0</v>
      </c>
      <c r="W49" s="179">
        <f ca="1">IF(NFI_Expiration=1,IF($A49&lt;VLOOKUP(O$5,NFI,5,0),1,0)*Table_NFI[[#This Row],[Complementary Kit]],Table_NFI[[#This Row],[Complementary Kit]])</f>
        <v>0</v>
      </c>
    </row>
    <row r="50" spans="1:23" ht="15">
      <c r="A50" s="125">
        <f ca="1" t="shared" si="1"/>
        <v>11.833333333333334</v>
      </c>
      <c r="B50" s="116">
        <v>41327</v>
      </c>
      <c r="C50" s="117" t="s">
        <v>962</v>
      </c>
      <c r="D50" s="91"/>
      <c r="E50" s="91" t="s">
        <v>434</v>
      </c>
      <c r="F50" s="120" t="s">
        <v>455</v>
      </c>
      <c r="G50" s="120" t="s">
        <v>482</v>
      </c>
      <c r="H50" s="121">
        <v>23</v>
      </c>
      <c r="I50" s="171">
        <v>0</v>
      </c>
      <c r="J50" s="171"/>
      <c r="K50" s="171"/>
      <c r="L50" s="171"/>
      <c r="M50" s="171"/>
      <c r="N50" s="171"/>
      <c r="O50" s="171"/>
      <c r="P50" s="179">
        <f ca="1">IF(NFI_Expiration=1,IF($A50&lt;VLOOKUP(H$5,NFI,5,0),1,0)*Table_NFI[[#This Row],[Hygiene Kit]],Table_NFI[[#This Row],[Hygiene Kit]])</f>
        <v>0</v>
      </c>
      <c r="Q50" s="179">
        <f ca="1">IF(NFI_Expiration=1,IF($A50&lt;VLOOKUP(I$5,NFI,5,0),1,0)*Table_NFI[[#This Row],[NFI Core Kit]],Table_NFI[[#This Row],[NFI Core Kit]])</f>
        <v>0</v>
      </c>
      <c r="R50" s="179">
        <f ca="1">IF(NFI_Expiration=1,IF($A50&lt;VLOOKUP(J$5,NFI,5,0),1,0)*Table_NFI[[#This Row],[Sanitary Kit]],Table_NFI[[#This Row],[Sanitary Kit]])</f>
        <v>0</v>
      </c>
      <c r="S50" s="179">
        <f ca="1">IF(NFI_Expiration=1,IF($A50&lt;VLOOKUP(K$5,NFI,5,0),1,0)*Table_NFI[[#This Row],[Mosquitoe net]],Table_NFI[[#This Row],[Mosquitoe net]])</f>
        <v>0</v>
      </c>
      <c r="T50" s="179">
        <f ca="1">IF(NFI_Expiration=1,IF($A50&lt;VLOOKUP(L$5,NFI,5,0),1,0)*Table_NFI[[#This Row],[Tarpaulin]],Table_NFI[[#This Row],[Tarpaulin]])</f>
        <v>0</v>
      </c>
      <c r="U50" s="179">
        <f ca="1">IF(NFI_Expiration=1,IF($A50&lt;VLOOKUP(M$5,NFI,5,0),1,0)*Table_NFI[[#This Row],[Blanket]],Table_NFI[[#This Row],[Blanket]])</f>
        <v>0</v>
      </c>
      <c r="V50" s="179">
        <f ca="1">IF(NFI_Expiration=1,IF($A50&lt;VLOOKUP(N$5,NFI,5,0),1,0)*Table_NFI[[#This Row],[Kitchen Set]],Table_NFI[[#This Row],[Kitchen Set]])</f>
        <v>0</v>
      </c>
      <c r="W50" s="179">
        <f ca="1">IF(NFI_Expiration=1,IF($A50&lt;VLOOKUP(O$5,NFI,5,0),1,0)*Table_NFI[[#This Row],[Complementary Kit]],Table_NFI[[#This Row],[Complementary Kit]])</f>
        <v>0</v>
      </c>
    </row>
    <row r="51" spans="1:23" ht="15">
      <c r="A51" s="125">
        <f ca="1" t="shared" si="1"/>
        <v>12.066666666666666</v>
      </c>
      <c r="B51" s="116">
        <v>41320</v>
      </c>
      <c r="C51" s="117" t="s">
        <v>962</v>
      </c>
      <c r="D51" s="91"/>
      <c r="E51" s="91" t="s">
        <v>434</v>
      </c>
      <c r="F51" s="117" t="s">
        <v>453</v>
      </c>
      <c r="G51" s="117" t="s">
        <v>477</v>
      </c>
      <c r="H51" s="118">
        <v>360</v>
      </c>
      <c r="I51" s="171"/>
      <c r="J51" s="171"/>
      <c r="K51" s="171"/>
      <c r="L51" s="171"/>
      <c r="M51" s="171"/>
      <c r="N51" s="171"/>
      <c r="O51" s="171"/>
      <c r="P51" s="179">
        <f ca="1">IF(NFI_Expiration=1,IF($A51&lt;VLOOKUP(H$5,NFI,5,0),1,0)*Table_NFI[[#This Row],[Hygiene Kit]],Table_NFI[[#This Row],[Hygiene Kit]])</f>
        <v>0</v>
      </c>
      <c r="Q51" s="179">
        <f ca="1">IF(NFI_Expiration=1,IF($A51&lt;VLOOKUP(I$5,NFI,5,0),1,0)*Table_NFI[[#This Row],[NFI Core Kit]],Table_NFI[[#This Row],[NFI Core Kit]])</f>
        <v>0</v>
      </c>
      <c r="R51" s="179">
        <f ca="1">IF(NFI_Expiration=1,IF($A51&lt;VLOOKUP(J$5,NFI,5,0),1,0)*Table_NFI[[#This Row],[Sanitary Kit]],Table_NFI[[#This Row],[Sanitary Kit]])</f>
        <v>0</v>
      </c>
      <c r="S51" s="179">
        <f ca="1">IF(NFI_Expiration=1,IF($A51&lt;VLOOKUP(K$5,NFI,5,0),1,0)*Table_NFI[[#This Row],[Mosquitoe net]],Table_NFI[[#This Row],[Mosquitoe net]])</f>
        <v>0</v>
      </c>
      <c r="T51" s="179">
        <f ca="1">IF(NFI_Expiration=1,IF($A51&lt;VLOOKUP(L$5,NFI,5,0),1,0)*Table_NFI[[#This Row],[Tarpaulin]],Table_NFI[[#This Row],[Tarpaulin]])</f>
        <v>0</v>
      </c>
      <c r="U51" s="179">
        <f ca="1">IF(NFI_Expiration=1,IF($A51&lt;VLOOKUP(M$5,NFI,5,0),1,0)*Table_NFI[[#This Row],[Blanket]],Table_NFI[[#This Row],[Blanket]])</f>
        <v>0</v>
      </c>
      <c r="V51" s="179">
        <f ca="1">IF(NFI_Expiration=1,IF($A51&lt;VLOOKUP(N$5,NFI,5,0),1,0)*Table_NFI[[#This Row],[Kitchen Set]],Table_NFI[[#This Row],[Kitchen Set]])</f>
        <v>0</v>
      </c>
      <c r="W51" s="179">
        <f ca="1">IF(NFI_Expiration=1,IF($A51&lt;VLOOKUP(O$5,NFI,5,0),1,0)*Table_NFI[[#This Row],[Complementary Kit]],Table_NFI[[#This Row],[Complementary Kit]])</f>
        <v>0</v>
      </c>
    </row>
    <row r="52" spans="1:23" ht="15">
      <c r="A52" s="125">
        <f ca="1" t="shared" si="1"/>
        <v>12.066666666666666</v>
      </c>
      <c r="B52" s="116">
        <v>41320</v>
      </c>
      <c r="C52" s="119" t="s">
        <v>962</v>
      </c>
      <c r="D52" s="91"/>
      <c r="E52" s="91" t="s">
        <v>434</v>
      </c>
      <c r="F52" s="120" t="s">
        <v>453</v>
      </c>
      <c r="G52" s="120" t="s">
        <v>476</v>
      </c>
      <c r="H52" s="121">
        <v>245</v>
      </c>
      <c r="I52" s="171"/>
      <c r="J52" s="171"/>
      <c r="K52" s="171"/>
      <c r="L52" s="171"/>
      <c r="M52" s="171"/>
      <c r="N52" s="171"/>
      <c r="O52" s="171"/>
      <c r="P52" s="179">
        <f ca="1">IF(NFI_Expiration=1,IF($A52&lt;VLOOKUP(H$5,NFI,5,0),1,0)*Table_NFI[[#This Row],[Hygiene Kit]],Table_NFI[[#This Row],[Hygiene Kit]])</f>
        <v>0</v>
      </c>
      <c r="Q52" s="179">
        <f ca="1">IF(NFI_Expiration=1,IF($A52&lt;VLOOKUP(I$5,NFI,5,0),1,0)*Table_NFI[[#This Row],[NFI Core Kit]],Table_NFI[[#This Row],[NFI Core Kit]])</f>
        <v>0</v>
      </c>
      <c r="R52" s="179">
        <f ca="1">IF(NFI_Expiration=1,IF($A52&lt;VLOOKUP(J$5,NFI,5,0),1,0)*Table_NFI[[#This Row],[Sanitary Kit]],Table_NFI[[#This Row],[Sanitary Kit]])</f>
        <v>0</v>
      </c>
      <c r="S52" s="179">
        <f ca="1">IF(NFI_Expiration=1,IF($A52&lt;VLOOKUP(K$5,NFI,5,0),1,0)*Table_NFI[[#This Row],[Mosquitoe net]],Table_NFI[[#This Row],[Mosquitoe net]])</f>
        <v>0</v>
      </c>
      <c r="T52" s="179">
        <f ca="1">IF(NFI_Expiration=1,IF($A52&lt;VLOOKUP(L$5,NFI,5,0),1,0)*Table_NFI[[#This Row],[Tarpaulin]],Table_NFI[[#This Row],[Tarpaulin]])</f>
        <v>0</v>
      </c>
      <c r="U52" s="179">
        <f ca="1">IF(NFI_Expiration=1,IF($A52&lt;VLOOKUP(M$5,NFI,5,0),1,0)*Table_NFI[[#This Row],[Blanket]],Table_NFI[[#This Row],[Blanket]])</f>
        <v>0</v>
      </c>
      <c r="V52" s="179">
        <f ca="1">IF(NFI_Expiration=1,IF($A52&lt;VLOOKUP(N$5,NFI,5,0),1,0)*Table_NFI[[#This Row],[Kitchen Set]],Table_NFI[[#This Row],[Kitchen Set]])</f>
        <v>0</v>
      </c>
      <c r="W52" s="179">
        <f ca="1">IF(NFI_Expiration=1,IF($A52&lt;VLOOKUP(O$5,NFI,5,0),1,0)*Table_NFI[[#This Row],[Complementary Kit]],Table_NFI[[#This Row],[Complementary Kit]])</f>
        <v>0</v>
      </c>
    </row>
    <row r="53" spans="1:23" ht="15">
      <c r="A53" s="125">
        <f ca="1" t="shared" si="1"/>
        <v>12.066666666666666</v>
      </c>
      <c r="B53" s="116">
        <v>41320</v>
      </c>
      <c r="C53" s="119" t="s">
        <v>962</v>
      </c>
      <c r="D53" s="91"/>
      <c r="E53" s="91" t="s">
        <v>434</v>
      </c>
      <c r="F53" s="120" t="s">
        <v>452</v>
      </c>
      <c r="G53" s="117" t="s">
        <v>469</v>
      </c>
      <c r="H53" s="118">
        <v>205</v>
      </c>
      <c r="I53" s="171"/>
      <c r="J53" s="171"/>
      <c r="K53" s="171"/>
      <c r="L53" s="171"/>
      <c r="M53" s="171"/>
      <c r="N53" s="171"/>
      <c r="O53" s="171"/>
      <c r="P53" s="179">
        <f ca="1">IF(NFI_Expiration=1,IF($A53&lt;VLOOKUP(H$5,NFI,5,0),1,0)*Table_NFI[[#This Row],[Hygiene Kit]],Table_NFI[[#This Row],[Hygiene Kit]])</f>
        <v>0</v>
      </c>
      <c r="Q53" s="179">
        <f ca="1">IF(NFI_Expiration=1,IF($A53&lt;VLOOKUP(I$5,NFI,5,0),1,0)*Table_NFI[[#This Row],[NFI Core Kit]],Table_NFI[[#This Row],[NFI Core Kit]])</f>
        <v>0</v>
      </c>
      <c r="R53" s="179">
        <f ca="1">IF(NFI_Expiration=1,IF($A53&lt;VLOOKUP(J$5,NFI,5,0),1,0)*Table_NFI[[#This Row],[Sanitary Kit]],Table_NFI[[#This Row],[Sanitary Kit]])</f>
        <v>0</v>
      </c>
      <c r="S53" s="179">
        <f ca="1">IF(NFI_Expiration=1,IF($A53&lt;VLOOKUP(K$5,NFI,5,0),1,0)*Table_NFI[[#This Row],[Mosquitoe net]],Table_NFI[[#This Row],[Mosquitoe net]])</f>
        <v>0</v>
      </c>
      <c r="T53" s="179">
        <f ca="1">IF(NFI_Expiration=1,IF($A53&lt;VLOOKUP(L$5,NFI,5,0),1,0)*Table_NFI[[#This Row],[Tarpaulin]],Table_NFI[[#This Row],[Tarpaulin]])</f>
        <v>0</v>
      </c>
      <c r="U53" s="179">
        <f ca="1">IF(NFI_Expiration=1,IF($A53&lt;VLOOKUP(M$5,NFI,5,0),1,0)*Table_NFI[[#This Row],[Blanket]],Table_NFI[[#This Row],[Blanket]])</f>
        <v>0</v>
      </c>
      <c r="V53" s="179">
        <f ca="1">IF(NFI_Expiration=1,IF($A53&lt;VLOOKUP(N$5,NFI,5,0),1,0)*Table_NFI[[#This Row],[Kitchen Set]],Table_NFI[[#This Row],[Kitchen Set]])</f>
        <v>0</v>
      </c>
      <c r="W53" s="179">
        <f ca="1">IF(NFI_Expiration=1,IF($A53&lt;VLOOKUP(O$5,NFI,5,0),1,0)*Table_NFI[[#This Row],[Complementary Kit]],Table_NFI[[#This Row],[Complementary Kit]])</f>
        <v>0</v>
      </c>
    </row>
    <row r="54" spans="1:23" ht="15">
      <c r="A54" s="125">
        <f ca="1" t="shared" si="1"/>
        <v>12.066666666666666</v>
      </c>
      <c r="B54" s="116">
        <v>41320</v>
      </c>
      <c r="C54" s="119" t="s">
        <v>962</v>
      </c>
      <c r="D54" s="91"/>
      <c r="E54" s="91" t="s">
        <v>434</v>
      </c>
      <c r="F54" s="120" t="s">
        <v>452</v>
      </c>
      <c r="G54" s="120" t="s">
        <v>468</v>
      </c>
      <c r="H54" s="121">
        <v>20</v>
      </c>
      <c r="I54" s="171"/>
      <c r="J54" s="171"/>
      <c r="K54" s="171"/>
      <c r="L54" s="171"/>
      <c r="M54" s="171"/>
      <c r="N54" s="171"/>
      <c r="O54" s="171"/>
      <c r="P54" s="179">
        <f ca="1">IF(NFI_Expiration=1,IF($A54&lt;VLOOKUP(H$5,NFI,5,0),1,0)*Table_NFI[[#This Row],[Hygiene Kit]],Table_NFI[[#This Row],[Hygiene Kit]])</f>
        <v>0</v>
      </c>
      <c r="Q54" s="179">
        <f ca="1">IF(NFI_Expiration=1,IF($A54&lt;VLOOKUP(I$5,NFI,5,0),1,0)*Table_NFI[[#This Row],[NFI Core Kit]],Table_NFI[[#This Row],[NFI Core Kit]])</f>
        <v>0</v>
      </c>
      <c r="R54" s="179">
        <f ca="1">IF(NFI_Expiration=1,IF($A54&lt;VLOOKUP(J$5,NFI,5,0),1,0)*Table_NFI[[#This Row],[Sanitary Kit]],Table_NFI[[#This Row],[Sanitary Kit]])</f>
        <v>0</v>
      </c>
      <c r="S54" s="179">
        <f ca="1">IF(NFI_Expiration=1,IF($A54&lt;VLOOKUP(K$5,NFI,5,0),1,0)*Table_NFI[[#This Row],[Mosquitoe net]],Table_NFI[[#This Row],[Mosquitoe net]])</f>
        <v>0</v>
      </c>
      <c r="T54" s="179">
        <f ca="1">IF(NFI_Expiration=1,IF($A54&lt;VLOOKUP(L$5,NFI,5,0),1,0)*Table_NFI[[#This Row],[Tarpaulin]],Table_NFI[[#This Row],[Tarpaulin]])</f>
        <v>0</v>
      </c>
      <c r="U54" s="179">
        <f ca="1">IF(NFI_Expiration=1,IF($A54&lt;VLOOKUP(M$5,NFI,5,0),1,0)*Table_NFI[[#This Row],[Blanket]],Table_NFI[[#This Row],[Blanket]])</f>
        <v>0</v>
      </c>
      <c r="V54" s="179">
        <f ca="1">IF(NFI_Expiration=1,IF($A54&lt;VLOOKUP(N$5,NFI,5,0),1,0)*Table_NFI[[#This Row],[Kitchen Set]],Table_NFI[[#This Row],[Kitchen Set]])</f>
        <v>0</v>
      </c>
      <c r="W54" s="179">
        <f ca="1">IF(NFI_Expiration=1,IF($A54&lt;VLOOKUP(O$5,NFI,5,0),1,0)*Table_NFI[[#This Row],[Complementary Kit]],Table_NFI[[#This Row],[Complementary Kit]])</f>
        <v>0</v>
      </c>
    </row>
    <row r="55" spans="1:23" ht="15">
      <c r="A55" s="125">
        <f ca="1" t="shared" si="1"/>
        <v>12.066666666666666</v>
      </c>
      <c r="B55" s="116">
        <v>41320</v>
      </c>
      <c r="C55" s="119" t="s">
        <v>962</v>
      </c>
      <c r="D55" s="91"/>
      <c r="E55" s="91" t="s">
        <v>434</v>
      </c>
      <c r="F55" s="120" t="s">
        <v>452</v>
      </c>
      <c r="G55" s="120" t="s">
        <v>471</v>
      </c>
      <c r="H55" s="121">
        <v>230</v>
      </c>
      <c r="I55" s="171"/>
      <c r="J55" s="171"/>
      <c r="K55" s="171"/>
      <c r="L55" s="171"/>
      <c r="M55" s="171"/>
      <c r="N55" s="171"/>
      <c r="O55" s="171"/>
      <c r="P55" s="179">
        <f ca="1">IF(NFI_Expiration=1,IF($A55&lt;VLOOKUP(H$5,NFI,5,0),1,0)*Table_NFI[[#This Row],[Hygiene Kit]],Table_NFI[[#This Row],[Hygiene Kit]])</f>
        <v>0</v>
      </c>
      <c r="Q55" s="179">
        <f ca="1">IF(NFI_Expiration=1,IF($A55&lt;VLOOKUP(I$5,NFI,5,0),1,0)*Table_NFI[[#This Row],[NFI Core Kit]],Table_NFI[[#This Row],[NFI Core Kit]])</f>
        <v>0</v>
      </c>
      <c r="R55" s="179">
        <f ca="1">IF(NFI_Expiration=1,IF($A55&lt;VLOOKUP(J$5,NFI,5,0),1,0)*Table_NFI[[#This Row],[Sanitary Kit]],Table_NFI[[#This Row],[Sanitary Kit]])</f>
        <v>0</v>
      </c>
      <c r="S55" s="179">
        <f ca="1">IF(NFI_Expiration=1,IF($A55&lt;VLOOKUP(K$5,NFI,5,0),1,0)*Table_NFI[[#This Row],[Mosquitoe net]],Table_NFI[[#This Row],[Mosquitoe net]])</f>
        <v>0</v>
      </c>
      <c r="T55" s="179">
        <f ca="1">IF(NFI_Expiration=1,IF($A55&lt;VLOOKUP(L$5,NFI,5,0),1,0)*Table_NFI[[#This Row],[Tarpaulin]],Table_NFI[[#This Row],[Tarpaulin]])</f>
        <v>0</v>
      </c>
      <c r="U55" s="179">
        <f ca="1">IF(NFI_Expiration=1,IF($A55&lt;VLOOKUP(M$5,NFI,5,0),1,0)*Table_NFI[[#This Row],[Blanket]],Table_NFI[[#This Row],[Blanket]])</f>
        <v>0</v>
      </c>
      <c r="V55" s="179">
        <f ca="1">IF(NFI_Expiration=1,IF($A55&lt;VLOOKUP(N$5,NFI,5,0),1,0)*Table_NFI[[#This Row],[Kitchen Set]],Table_NFI[[#This Row],[Kitchen Set]])</f>
        <v>0</v>
      </c>
      <c r="W55" s="179">
        <f ca="1">IF(NFI_Expiration=1,IF($A55&lt;VLOOKUP(O$5,NFI,5,0),1,0)*Table_NFI[[#This Row],[Complementary Kit]],Table_NFI[[#This Row],[Complementary Kit]])</f>
        <v>0</v>
      </c>
    </row>
    <row r="56" spans="1:23" ht="15">
      <c r="A56" s="125">
        <f ca="1" t="shared" si="1"/>
        <v>12.066666666666666</v>
      </c>
      <c r="B56" s="116">
        <v>41320</v>
      </c>
      <c r="C56" s="117" t="s">
        <v>962</v>
      </c>
      <c r="D56" s="91"/>
      <c r="E56" s="91" t="s">
        <v>434</v>
      </c>
      <c r="F56" s="117" t="s">
        <v>452</v>
      </c>
      <c r="G56" s="117" t="s">
        <v>474</v>
      </c>
      <c r="H56" s="118">
        <v>35</v>
      </c>
      <c r="I56" s="171"/>
      <c r="J56" s="171"/>
      <c r="K56" s="171"/>
      <c r="L56" s="171"/>
      <c r="M56" s="171"/>
      <c r="N56" s="171"/>
      <c r="O56" s="171"/>
      <c r="P56" s="179">
        <f ca="1">IF(NFI_Expiration=1,IF($A56&lt;VLOOKUP(H$5,NFI,5,0),1,0)*Table_NFI[[#This Row],[Hygiene Kit]],Table_NFI[[#This Row],[Hygiene Kit]])</f>
        <v>0</v>
      </c>
      <c r="Q56" s="179">
        <f ca="1">IF(NFI_Expiration=1,IF($A56&lt;VLOOKUP(I$5,NFI,5,0),1,0)*Table_NFI[[#This Row],[NFI Core Kit]],Table_NFI[[#This Row],[NFI Core Kit]])</f>
        <v>0</v>
      </c>
      <c r="R56" s="179">
        <f ca="1">IF(NFI_Expiration=1,IF($A56&lt;VLOOKUP(J$5,NFI,5,0),1,0)*Table_NFI[[#This Row],[Sanitary Kit]],Table_NFI[[#This Row],[Sanitary Kit]])</f>
        <v>0</v>
      </c>
      <c r="S56" s="179">
        <f ca="1">IF(NFI_Expiration=1,IF($A56&lt;VLOOKUP(K$5,NFI,5,0),1,0)*Table_NFI[[#This Row],[Mosquitoe net]],Table_NFI[[#This Row],[Mosquitoe net]])</f>
        <v>0</v>
      </c>
      <c r="T56" s="179">
        <f ca="1">IF(NFI_Expiration=1,IF($A56&lt;VLOOKUP(L$5,NFI,5,0),1,0)*Table_NFI[[#This Row],[Tarpaulin]],Table_NFI[[#This Row],[Tarpaulin]])</f>
        <v>0</v>
      </c>
      <c r="U56" s="179">
        <f ca="1">IF(NFI_Expiration=1,IF($A56&lt;VLOOKUP(M$5,NFI,5,0),1,0)*Table_NFI[[#This Row],[Blanket]],Table_NFI[[#This Row],[Blanket]])</f>
        <v>0</v>
      </c>
      <c r="V56" s="179">
        <f ca="1">IF(NFI_Expiration=1,IF($A56&lt;VLOOKUP(N$5,NFI,5,0),1,0)*Table_NFI[[#This Row],[Kitchen Set]],Table_NFI[[#This Row],[Kitchen Set]])</f>
        <v>0</v>
      </c>
      <c r="W56" s="179">
        <f ca="1">IF(NFI_Expiration=1,IF($A56&lt;VLOOKUP(O$5,NFI,5,0),1,0)*Table_NFI[[#This Row],[Complementary Kit]],Table_NFI[[#This Row],[Complementary Kit]])</f>
        <v>0</v>
      </c>
    </row>
    <row r="57" spans="1:23" ht="15">
      <c r="A57" s="125">
        <f ca="1" t="shared" si="1"/>
        <v>12.066666666666666</v>
      </c>
      <c r="B57" s="116">
        <v>41320</v>
      </c>
      <c r="C57" s="117" t="s">
        <v>962</v>
      </c>
      <c r="D57" s="91"/>
      <c r="E57" s="91" t="s">
        <v>434</v>
      </c>
      <c r="F57" s="120" t="s">
        <v>452</v>
      </c>
      <c r="G57" s="120" t="s">
        <v>473</v>
      </c>
      <c r="H57" s="121">
        <v>90</v>
      </c>
      <c r="I57" s="171"/>
      <c r="J57" s="171"/>
      <c r="K57" s="171"/>
      <c r="L57" s="171"/>
      <c r="M57" s="171"/>
      <c r="N57" s="171"/>
      <c r="O57" s="171"/>
      <c r="P57" s="179">
        <f ca="1">IF(NFI_Expiration=1,IF($A57&lt;VLOOKUP(H$5,NFI,5,0),1,0)*Table_NFI[[#This Row],[Hygiene Kit]],Table_NFI[[#This Row],[Hygiene Kit]])</f>
        <v>0</v>
      </c>
      <c r="Q57" s="179">
        <f ca="1">IF(NFI_Expiration=1,IF($A57&lt;VLOOKUP(I$5,NFI,5,0),1,0)*Table_NFI[[#This Row],[NFI Core Kit]],Table_NFI[[#This Row],[NFI Core Kit]])</f>
        <v>0</v>
      </c>
      <c r="R57" s="179">
        <f ca="1">IF(NFI_Expiration=1,IF($A57&lt;VLOOKUP(J$5,NFI,5,0),1,0)*Table_NFI[[#This Row],[Sanitary Kit]],Table_NFI[[#This Row],[Sanitary Kit]])</f>
        <v>0</v>
      </c>
      <c r="S57" s="179">
        <f ca="1">IF(NFI_Expiration=1,IF($A57&lt;VLOOKUP(K$5,NFI,5,0),1,0)*Table_NFI[[#This Row],[Mosquitoe net]],Table_NFI[[#This Row],[Mosquitoe net]])</f>
        <v>0</v>
      </c>
      <c r="T57" s="179">
        <f ca="1">IF(NFI_Expiration=1,IF($A57&lt;VLOOKUP(L$5,NFI,5,0),1,0)*Table_NFI[[#This Row],[Tarpaulin]],Table_NFI[[#This Row],[Tarpaulin]])</f>
        <v>0</v>
      </c>
      <c r="U57" s="179">
        <f ca="1">IF(NFI_Expiration=1,IF($A57&lt;VLOOKUP(M$5,NFI,5,0),1,0)*Table_NFI[[#This Row],[Blanket]],Table_NFI[[#This Row],[Blanket]])</f>
        <v>0</v>
      </c>
      <c r="V57" s="179">
        <f ca="1">IF(NFI_Expiration=1,IF($A57&lt;VLOOKUP(N$5,NFI,5,0),1,0)*Table_NFI[[#This Row],[Kitchen Set]],Table_NFI[[#This Row],[Kitchen Set]])</f>
        <v>0</v>
      </c>
      <c r="W57" s="179">
        <f ca="1">IF(NFI_Expiration=1,IF($A57&lt;VLOOKUP(O$5,NFI,5,0),1,0)*Table_NFI[[#This Row],[Complementary Kit]],Table_NFI[[#This Row],[Complementary Kit]])</f>
        <v>0</v>
      </c>
    </row>
    <row r="58" spans="1:23" ht="15">
      <c r="A58" s="125">
        <f ca="1" t="shared" si="1"/>
        <v>12.066666666666666</v>
      </c>
      <c r="B58" s="116">
        <v>41320</v>
      </c>
      <c r="C58" s="117" t="s">
        <v>962</v>
      </c>
      <c r="D58" s="91"/>
      <c r="E58" s="91" t="s">
        <v>434</v>
      </c>
      <c r="F58" s="120" t="s">
        <v>452</v>
      </c>
      <c r="G58" s="120" t="s">
        <v>470</v>
      </c>
      <c r="H58" s="121">
        <v>90</v>
      </c>
      <c r="I58" s="171"/>
      <c r="J58" s="171"/>
      <c r="K58" s="171"/>
      <c r="L58" s="171"/>
      <c r="M58" s="171"/>
      <c r="N58" s="171"/>
      <c r="O58" s="171"/>
      <c r="P58" s="179">
        <f ca="1">IF(NFI_Expiration=1,IF($A58&lt;VLOOKUP(H$5,NFI,5,0),1,0)*Table_NFI[[#This Row],[Hygiene Kit]],Table_NFI[[#This Row],[Hygiene Kit]])</f>
        <v>0</v>
      </c>
      <c r="Q58" s="179">
        <f ca="1">IF(NFI_Expiration=1,IF($A58&lt;VLOOKUP(I$5,NFI,5,0),1,0)*Table_NFI[[#This Row],[NFI Core Kit]],Table_NFI[[#This Row],[NFI Core Kit]])</f>
        <v>0</v>
      </c>
      <c r="R58" s="179">
        <f ca="1">IF(NFI_Expiration=1,IF($A58&lt;VLOOKUP(J$5,NFI,5,0),1,0)*Table_NFI[[#This Row],[Sanitary Kit]],Table_NFI[[#This Row],[Sanitary Kit]])</f>
        <v>0</v>
      </c>
      <c r="S58" s="179">
        <f ca="1">IF(NFI_Expiration=1,IF($A58&lt;VLOOKUP(K$5,NFI,5,0),1,0)*Table_NFI[[#This Row],[Mosquitoe net]],Table_NFI[[#This Row],[Mosquitoe net]])</f>
        <v>0</v>
      </c>
      <c r="T58" s="179">
        <f ca="1">IF(NFI_Expiration=1,IF($A58&lt;VLOOKUP(L$5,NFI,5,0),1,0)*Table_NFI[[#This Row],[Tarpaulin]],Table_NFI[[#This Row],[Tarpaulin]])</f>
        <v>0</v>
      </c>
      <c r="U58" s="179">
        <f ca="1">IF(NFI_Expiration=1,IF($A58&lt;VLOOKUP(M$5,NFI,5,0),1,0)*Table_NFI[[#This Row],[Blanket]],Table_NFI[[#This Row],[Blanket]])</f>
        <v>0</v>
      </c>
      <c r="V58" s="179">
        <f ca="1">IF(NFI_Expiration=1,IF($A58&lt;VLOOKUP(N$5,NFI,5,0),1,0)*Table_NFI[[#This Row],[Kitchen Set]],Table_NFI[[#This Row],[Kitchen Set]])</f>
        <v>0</v>
      </c>
      <c r="W58" s="179">
        <f ca="1">IF(NFI_Expiration=1,IF($A58&lt;VLOOKUP(O$5,NFI,5,0),1,0)*Table_NFI[[#This Row],[Complementary Kit]],Table_NFI[[#This Row],[Complementary Kit]])</f>
        <v>0</v>
      </c>
    </row>
    <row r="59" spans="1:23" ht="15">
      <c r="A59" s="125">
        <f ca="1" t="shared" si="1"/>
        <v>12.066666666666666</v>
      </c>
      <c r="B59" s="116">
        <v>41320</v>
      </c>
      <c r="C59" s="117" t="s">
        <v>962</v>
      </c>
      <c r="D59" s="91"/>
      <c r="E59" s="91" t="s">
        <v>434</v>
      </c>
      <c r="F59" s="120" t="s">
        <v>452</v>
      </c>
      <c r="G59" s="120" t="s">
        <v>475</v>
      </c>
      <c r="H59" s="121">
        <v>230</v>
      </c>
      <c r="I59" s="171"/>
      <c r="J59" s="171"/>
      <c r="K59" s="171"/>
      <c r="L59" s="171"/>
      <c r="M59" s="171"/>
      <c r="N59" s="171"/>
      <c r="O59" s="171"/>
      <c r="P59" s="179">
        <f ca="1">IF(NFI_Expiration=1,IF($A59&lt;VLOOKUP(H$5,NFI,5,0),1,0)*Table_NFI[[#This Row],[Hygiene Kit]],Table_NFI[[#This Row],[Hygiene Kit]])</f>
        <v>0</v>
      </c>
      <c r="Q59" s="179">
        <f ca="1">IF(NFI_Expiration=1,IF($A59&lt;VLOOKUP(I$5,NFI,5,0),1,0)*Table_NFI[[#This Row],[NFI Core Kit]],Table_NFI[[#This Row],[NFI Core Kit]])</f>
        <v>0</v>
      </c>
      <c r="R59" s="179">
        <f ca="1">IF(NFI_Expiration=1,IF($A59&lt;VLOOKUP(J$5,NFI,5,0),1,0)*Table_NFI[[#This Row],[Sanitary Kit]],Table_NFI[[#This Row],[Sanitary Kit]])</f>
        <v>0</v>
      </c>
      <c r="S59" s="179">
        <f ca="1">IF(NFI_Expiration=1,IF($A59&lt;VLOOKUP(K$5,NFI,5,0),1,0)*Table_NFI[[#This Row],[Mosquitoe net]],Table_NFI[[#This Row],[Mosquitoe net]])</f>
        <v>0</v>
      </c>
      <c r="T59" s="179">
        <f ca="1">IF(NFI_Expiration=1,IF($A59&lt;VLOOKUP(L$5,NFI,5,0),1,0)*Table_NFI[[#This Row],[Tarpaulin]],Table_NFI[[#This Row],[Tarpaulin]])</f>
        <v>0</v>
      </c>
      <c r="U59" s="179">
        <f ca="1">IF(NFI_Expiration=1,IF($A59&lt;VLOOKUP(M$5,NFI,5,0),1,0)*Table_NFI[[#This Row],[Blanket]],Table_NFI[[#This Row],[Blanket]])</f>
        <v>0</v>
      </c>
      <c r="V59" s="179">
        <f ca="1">IF(NFI_Expiration=1,IF($A59&lt;VLOOKUP(N$5,NFI,5,0),1,0)*Table_NFI[[#This Row],[Kitchen Set]],Table_NFI[[#This Row],[Kitchen Set]])</f>
        <v>0</v>
      </c>
      <c r="W59" s="179">
        <f ca="1">IF(NFI_Expiration=1,IF($A59&lt;VLOOKUP(O$5,NFI,5,0),1,0)*Table_NFI[[#This Row],[Complementary Kit]],Table_NFI[[#This Row],[Complementary Kit]])</f>
        <v>0</v>
      </c>
    </row>
    <row r="60" spans="1:23" ht="15">
      <c r="A60" s="125">
        <f ca="1" t="shared" si="1"/>
        <v>12.066666666666666</v>
      </c>
      <c r="B60" s="116">
        <v>41320</v>
      </c>
      <c r="C60" s="117" t="s">
        <v>962</v>
      </c>
      <c r="D60" s="91"/>
      <c r="E60" s="91" t="s">
        <v>434</v>
      </c>
      <c r="F60" s="120" t="s">
        <v>453</v>
      </c>
      <c r="G60" s="120" t="s">
        <v>478</v>
      </c>
      <c r="H60" s="121">
        <v>35</v>
      </c>
      <c r="I60" s="171"/>
      <c r="J60" s="171"/>
      <c r="K60" s="171"/>
      <c r="L60" s="171"/>
      <c r="M60" s="171"/>
      <c r="N60" s="171"/>
      <c r="O60" s="171"/>
      <c r="P60" s="179">
        <f ca="1">IF(NFI_Expiration=1,IF($A60&lt;VLOOKUP(H$5,NFI,5,0),1,0)*Table_NFI[[#This Row],[Hygiene Kit]],Table_NFI[[#This Row],[Hygiene Kit]])</f>
        <v>0</v>
      </c>
      <c r="Q60" s="179">
        <f ca="1">IF(NFI_Expiration=1,IF($A60&lt;VLOOKUP(I$5,NFI,5,0),1,0)*Table_NFI[[#This Row],[NFI Core Kit]],Table_NFI[[#This Row],[NFI Core Kit]])</f>
        <v>0</v>
      </c>
      <c r="R60" s="179">
        <f ca="1">IF(NFI_Expiration=1,IF($A60&lt;VLOOKUP(J$5,NFI,5,0),1,0)*Table_NFI[[#This Row],[Sanitary Kit]],Table_NFI[[#This Row],[Sanitary Kit]])</f>
        <v>0</v>
      </c>
      <c r="S60" s="179">
        <f ca="1">IF(NFI_Expiration=1,IF($A60&lt;VLOOKUP(K$5,NFI,5,0),1,0)*Table_NFI[[#This Row],[Mosquitoe net]],Table_NFI[[#This Row],[Mosquitoe net]])</f>
        <v>0</v>
      </c>
      <c r="T60" s="179">
        <f ca="1">IF(NFI_Expiration=1,IF($A60&lt;VLOOKUP(L$5,NFI,5,0),1,0)*Table_NFI[[#This Row],[Tarpaulin]],Table_NFI[[#This Row],[Tarpaulin]])</f>
        <v>0</v>
      </c>
      <c r="U60" s="179">
        <f ca="1">IF(NFI_Expiration=1,IF($A60&lt;VLOOKUP(M$5,NFI,5,0),1,0)*Table_NFI[[#This Row],[Blanket]],Table_NFI[[#This Row],[Blanket]])</f>
        <v>0</v>
      </c>
      <c r="V60" s="179">
        <f ca="1">IF(NFI_Expiration=1,IF($A60&lt;VLOOKUP(N$5,NFI,5,0),1,0)*Table_NFI[[#This Row],[Kitchen Set]],Table_NFI[[#This Row],[Kitchen Set]])</f>
        <v>0</v>
      </c>
      <c r="W60" s="179">
        <f ca="1">IF(NFI_Expiration=1,IF($A60&lt;VLOOKUP(O$5,NFI,5,0),1,0)*Table_NFI[[#This Row],[Complementary Kit]],Table_NFI[[#This Row],[Complementary Kit]])</f>
        <v>0</v>
      </c>
    </row>
    <row r="61" spans="1:23" ht="15">
      <c r="A61" s="125">
        <f ca="1" t="shared" si="1"/>
        <v>12.1</v>
      </c>
      <c r="B61" s="115">
        <v>41319</v>
      </c>
      <c r="C61" s="91" t="s">
        <v>960</v>
      </c>
      <c r="D61" s="91"/>
      <c r="E61" s="91" t="s">
        <v>434</v>
      </c>
      <c r="F61" s="1" t="s">
        <v>461</v>
      </c>
      <c r="G61" s="91" t="s">
        <v>552</v>
      </c>
      <c r="H61" s="91"/>
      <c r="I61" s="171">
        <v>20</v>
      </c>
      <c r="J61" s="171">
        <v>40</v>
      </c>
      <c r="K61" s="236">
        <v>81</v>
      </c>
      <c r="L61" s="171">
        <v>20</v>
      </c>
      <c r="M61" s="171"/>
      <c r="N61" s="171"/>
      <c r="O61" s="171"/>
      <c r="P61" s="179">
        <f ca="1">IF(NFI_Expiration=1,IF($A61&lt;VLOOKUP(H$5,NFI,5,0),1,0)*Table_NFI[[#This Row],[Hygiene Kit]],Table_NFI[[#This Row],[Hygiene Kit]])</f>
        <v>0</v>
      </c>
      <c r="Q61" s="179">
        <f ca="1">IF(NFI_Expiration=1,IF($A61&lt;VLOOKUP(I$5,NFI,5,0),1,0)*Table_NFI[[#This Row],[NFI Core Kit]],Table_NFI[[#This Row],[NFI Core Kit]])</f>
        <v>0</v>
      </c>
      <c r="R61" s="179">
        <f ca="1">IF(NFI_Expiration=1,IF($A61&lt;VLOOKUP(J$5,NFI,5,0),1,0)*Table_NFI[[#This Row],[Sanitary Kit]],Table_NFI[[#This Row],[Sanitary Kit]])</f>
        <v>0</v>
      </c>
      <c r="S61" s="179">
        <f ca="1">IF(NFI_Expiration=1,IF($A61&lt;VLOOKUP(K$5,NFI,5,0),1,0)*Table_NFI[[#This Row],[Mosquitoe net]],Table_NFI[[#This Row],[Mosquitoe net]])</f>
        <v>0</v>
      </c>
      <c r="T61" s="179">
        <f ca="1">IF(NFI_Expiration=1,IF($A61&lt;VLOOKUP(L$5,NFI,5,0),1,0)*Table_NFI[[#This Row],[Tarpaulin]],Table_NFI[[#This Row],[Tarpaulin]])</f>
        <v>0</v>
      </c>
      <c r="U61" s="179">
        <f ca="1">IF(NFI_Expiration=1,IF($A61&lt;VLOOKUP(M$5,NFI,5,0),1,0)*Table_NFI[[#This Row],[Blanket]],Table_NFI[[#This Row],[Blanket]])</f>
        <v>0</v>
      </c>
      <c r="V61" s="179">
        <f ca="1">IF(NFI_Expiration=1,IF($A61&lt;VLOOKUP(N$5,NFI,5,0),1,0)*Table_NFI[[#This Row],[Kitchen Set]],Table_NFI[[#This Row],[Kitchen Set]])</f>
        <v>0</v>
      </c>
      <c r="W61" s="179">
        <f ca="1">IF(NFI_Expiration=1,IF($A61&lt;VLOOKUP(O$5,NFI,5,0),1,0)*Table_NFI[[#This Row],[Complementary Kit]],Table_NFI[[#This Row],[Complementary Kit]])</f>
        <v>0</v>
      </c>
    </row>
    <row r="62" spans="1:23" ht="15">
      <c r="A62" s="125">
        <f ca="1" t="shared" si="1"/>
        <v>12.1</v>
      </c>
      <c r="B62" s="115">
        <v>41319</v>
      </c>
      <c r="C62" s="117" t="s">
        <v>960</v>
      </c>
      <c r="D62" s="91"/>
      <c r="E62" s="122" t="s">
        <v>434</v>
      </c>
      <c r="F62" s="1" t="s">
        <v>455</v>
      </c>
      <c r="G62" s="91" t="s">
        <v>483</v>
      </c>
      <c r="H62" s="91"/>
      <c r="I62" s="171"/>
      <c r="J62" s="171"/>
      <c r="K62" s="171"/>
      <c r="L62" s="171"/>
      <c r="M62" s="171">
        <v>500</v>
      </c>
      <c r="N62" s="171"/>
      <c r="O62" s="171"/>
      <c r="P62" s="179">
        <f ca="1">IF(NFI_Expiration=1,IF($A62&lt;VLOOKUP(H$5,NFI,5,0),1,0)*Table_NFI[[#This Row],[Hygiene Kit]],Table_NFI[[#This Row],[Hygiene Kit]])</f>
        <v>0</v>
      </c>
      <c r="Q62" s="179">
        <f ca="1">IF(NFI_Expiration=1,IF($A62&lt;VLOOKUP(I$5,NFI,5,0),1,0)*Table_NFI[[#This Row],[NFI Core Kit]],Table_NFI[[#This Row],[NFI Core Kit]])</f>
        <v>0</v>
      </c>
      <c r="R62" s="179">
        <f ca="1">IF(NFI_Expiration=1,IF($A62&lt;VLOOKUP(J$5,NFI,5,0),1,0)*Table_NFI[[#This Row],[Sanitary Kit]],Table_NFI[[#This Row],[Sanitary Kit]])</f>
        <v>0</v>
      </c>
      <c r="S62" s="179">
        <f ca="1">IF(NFI_Expiration=1,IF($A62&lt;VLOOKUP(K$5,NFI,5,0),1,0)*Table_NFI[[#This Row],[Mosquitoe net]],Table_NFI[[#This Row],[Mosquitoe net]])</f>
        <v>0</v>
      </c>
      <c r="T62" s="179">
        <f ca="1">IF(NFI_Expiration=1,IF($A62&lt;VLOOKUP(L$5,NFI,5,0),1,0)*Table_NFI[[#This Row],[Tarpaulin]],Table_NFI[[#This Row],[Tarpaulin]])</f>
        <v>0</v>
      </c>
      <c r="U62" s="179">
        <f ca="1">IF(NFI_Expiration=1,IF($A62&lt;VLOOKUP(M$5,NFI,5,0),1,0)*Table_NFI[[#This Row],[Blanket]],Table_NFI[[#This Row],[Blanket]])</f>
        <v>0</v>
      </c>
      <c r="V62" s="179">
        <f ca="1">IF(NFI_Expiration=1,IF($A62&lt;VLOOKUP(N$5,NFI,5,0),1,0)*Table_NFI[[#This Row],[Kitchen Set]],Table_NFI[[#This Row],[Kitchen Set]])</f>
        <v>0</v>
      </c>
      <c r="W62" s="179">
        <f ca="1">IF(NFI_Expiration=1,IF($A62&lt;VLOOKUP(O$5,NFI,5,0),1,0)*Table_NFI[[#This Row],[Complementary Kit]],Table_NFI[[#This Row],[Complementary Kit]])</f>
        <v>0</v>
      </c>
    </row>
    <row r="63" spans="1:23" ht="15">
      <c r="A63" s="125">
        <f ca="1" t="shared" si="1"/>
        <v>12.233333333333333</v>
      </c>
      <c r="B63" s="115">
        <v>41315</v>
      </c>
      <c r="C63" s="117" t="s">
        <v>960</v>
      </c>
      <c r="D63" s="91"/>
      <c r="E63" s="122" t="s">
        <v>434</v>
      </c>
      <c r="F63" s="1" t="s">
        <v>455</v>
      </c>
      <c r="G63" s="91" t="s">
        <v>483</v>
      </c>
      <c r="H63" s="91"/>
      <c r="I63" s="171"/>
      <c r="J63" s="171"/>
      <c r="K63" s="171"/>
      <c r="L63" s="171"/>
      <c r="M63" s="171">
        <v>273</v>
      </c>
      <c r="N63" s="171"/>
      <c r="O63" s="171"/>
      <c r="P63" s="179">
        <f ca="1">IF(NFI_Expiration=1,IF($A63&lt;VLOOKUP(H$5,NFI,5,0),1,0)*Table_NFI[[#This Row],[Hygiene Kit]],Table_NFI[[#This Row],[Hygiene Kit]])</f>
        <v>0</v>
      </c>
      <c r="Q63" s="179">
        <f ca="1">IF(NFI_Expiration=1,IF($A63&lt;VLOOKUP(I$5,NFI,5,0),1,0)*Table_NFI[[#This Row],[NFI Core Kit]],Table_NFI[[#This Row],[NFI Core Kit]])</f>
        <v>0</v>
      </c>
      <c r="R63" s="179">
        <f ca="1">IF(NFI_Expiration=1,IF($A63&lt;VLOOKUP(J$5,NFI,5,0),1,0)*Table_NFI[[#This Row],[Sanitary Kit]],Table_NFI[[#This Row],[Sanitary Kit]])</f>
        <v>0</v>
      </c>
      <c r="S63" s="179">
        <f ca="1">IF(NFI_Expiration=1,IF($A63&lt;VLOOKUP(K$5,NFI,5,0),1,0)*Table_NFI[[#This Row],[Mosquitoe net]],Table_NFI[[#This Row],[Mosquitoe net]])</f>
        <v>0</v>
      </c>
      <c r="T63" s="179">
        <f ca="1">IF(NFI_Expiration=1,IF($A63&lt;VLOOKUP(L$5,NFI,5,0),1,0)*Table_NFI[[#This Row],[Tarpaulin]],Table_NFI[[#This Row],[Tarpaulin]])</f>
        <v>0</v>
      </c>
      <c r="U63" s="179">
        <f ca="1">IF(NFI_Expiration=1,IF($A63&lt;VLOOKUP(M$5,NFI,5,0),1,0)*Table_NFI[[#This Row],[Blanket]],Table_NFI[[#This Row],[Blanket]])</f>
        <v>0</v>
      </c>
      <c r="V63" s="179">
        <f ca="1">IF(NFI_Expiration=1,IF($A63&lt;VLOOKUP(N$5,NFI,5,0),1,0)*Table_NFI[[#This Row],[Kitchen Set]],Table_NFI[[#This Row],[Kitchen Set]])</f>
        <v>0</v>
      </c>
      <c r="W63" s="179">
        <f ca="1">IF(NFI_Expiration=1,IF($A63&lt;VLOOKUP(O$5,NFI,5,0),1,0)*Table_NFI[[#This Row],[Complementary Kit]],Table_NFI[[#This Row],[Complementary Kit]])</f>
        <v>0</v>
      </c>
    </row>
    <row r="64" spans="1:23" ht="15">
      <c r="A64" s="125">
        <f ca="1" t="shared" si="1"/>
        <v>12.3</v>
      </c>
      <c r="B64" s="116">
        <v>41313</v>
      </c>
      <c r="C64" s="117" t="s">
        <v>962</v>
      </c>
      <c r="D64" s="91"/>
      <c r="E64" s="91" t="s">
        <v>434</v>
      </c>
      <c r="F64" s="117" t="s">
        <v>454</v>
      </c>
      <c r="G64" s="117" t="s">
        <v>480</v>
      </c>
      <c r="H64" s="118">
        <v>45</v>
      </c>
      <c r="I64" s="171"/>
      <c r="J64" s="171"/>
      <c r="K64" s="171"/>
      <c r="L64" s="171"/>
      <c r="M64" s="171"/>
      <c r="N64" s="171"/>
      <c r="O64" s="171"/>
      <c r="P64" s="179">
        <f ca="1">IF(NFI_Expiration=1,IF($A64&lt;VLOOKUP(H$5,NFI,5,0),1,0)*Table_NFI[[#This Row],[Hygiene Kit]],Table_NFI[[#This Row],[Hygiene Kit]])</f>
        <v>0</v>
      </c>
      <c r="Q64" s="179">
        <f ca="1">IF(NFI_Expiration=1,IF($A64&lt;VLOOKUP(I$5,NFI,5,0),1,0)*Table_NFI[[#This Row],[NFI Core Kit]],Table_NFI[[#This Row],[NFI Core Kit]])</f>
        <v>0</v>
      </c>
      <c r="R64" s="179">
        <f ca="1">IF(NFI_Expiration=1,IF($A64&lt;VLOOKUP(J$5,NFI,5,0),1,0)*Table_NFI[[#This Row],[Sanitary Kit]],Table_NFI[[#This Row],[Sanitary Kit]])</f>
        <v>0</v>
      </c>
      <c r="S64" s="179">
        <f ca="1">IF(NFI_Expiration=1,IF($A64&lt;VLOOKUP(K$5,NFI,5,0),1,0)*Table_NFI[[#This Row],[Mosquitoe net]],Table_NFI[[#This Row],[Mosquitoe net]])</f>
        <v>0</v>
      </c>
      <c r="T64" s="179">
        <f ca="1">IF(NFI_Expiration=1,IF($A64&lt;VLOOKUP(L$5,NFI,5,0),1,0)*Table_NFI[[#This Row],[Tarpaulin]],Table_NFI[[#This Row],[Tarpaulin]])</f>
        <v>0</v>
      </c>
      <c r="U64" s="179">
        <f ca="1">IF(NFI_Expiration=1,IF($A64&lt;VLOOKUP(M$5,NFI,5,0),1,0)*Table_NFI[[#This Row],[Blanket]],Table_NFI[[#This Row],[Blanket]])</f>
        <v>0</v>
      </c>
      <c r="V64" s="179">
        <f ca="1">IF(NFI_Expiration=1,IF($A64&lt;VLOOKUP(N$5,NFI,5,0),1,0)*Table_NFI[[#This Row],[Kitchen Set]],Table_NFI[[#This Row],[Kitchen Set]])</f>
        <v>0</v>
      </c>
      <c r="W64" s="179">
        <f ca="1">IF(NFI_Expiration=1,IF($A64&lt;VLOOKUP(O$5,NFI,5,0),1,0)*Table_NFI[[#This Row],[Complementary Kit]],Table_NFI[[#This Row],[Complementary Kit]])</f>
        <v>0</v>
      </c>
    </row>
    <row r="65" spans="1:23" ht="15">
      <c r="A65" s="125">
        <f aca="true" t="shared" si="2" ref="A65:A128">IF(ISBLANK(B65),"",(TODAY()-B65)/30)</f>
        <v>12.3</v>
      </c>
      <c r="B65" s="116">
        <v>41313</v>
      </c>
      <c r="C65" s="117" t="s">
        <v>962</v>
      </c>
      <c r="D65" s="91"/>
      <c r="E65" s="91" t="s">
        <v>434</v>
      </c>
      <c r="F65" s="117" t="s">
        <v>454</v>
      </c>
      <c r="G65" s="117" t="s">
        <v>481</v>
      </c>
      <c r="H65" s="118">
        <v>705</v>
      </c>
      <c r="I65" s="171"/>
      <c r="J65" s="171"/>
      <c r="K65" s="171"/>
      <c r="L65" s="171"/>
      <c r="M65" s="171"/>
      <c r="N65" s="171"/>
      <c r="O65" s="171"/>
      <c r="P65" s="179">
        <f ca="1">IF(NFI_Expiration=1,IF($A65&lt;VLOOKUP(H$5,NFI,5,0),1,0)*Table_NFI[[#This Row],[Hygiene Kit]],Table_NFI[[#This Row],[Hygiene Kit]])</f>
        <v>0</v>
      </c>
      <c r="Q65" s="179">
        <f ca="1">IF(NFI_Expiration=1,IF($A65&lt;VLOOKUP(I$5,NFI,5,0),1,0)*Table_NFI[[#This Row],[NFI Core Kit]],Table_NFI[[#This Row],[NFI Core Kit]])</f>
        <v>0</v>
      </c>
      <c r="R65" s="179">
        <f ca="1">IF(NFI_Expiration=1,IF($A65&lt;VLOOKUP(J$5,NFI,5,0),1,0)*Table_NFI[[#This Row],[Sanitary Kit]],Table_NFI[[#This Row],[Sanitary Kit]])</f>
        <v>0</v>
      </c>
      <c r="S65" s="179">
        <f ca="1">IF(NFI_Expiration=1,IF($A65&lt;VLOOKUP(K$5,NFI,5,0),1,0)*Table_NFI[[#This Row],[Mosquitoe net]],Table_NFI[[#This Row],[Mosquitoe net]])</f>
        <v>0</v>
      </c>
      <c r="T65" s="179">
        <f ca="1">IF(NFI_Expiration=1,IF($A65&lt;VLOOKUP(L$5,NFI,5,0),1,0)*Table_NFI[[#This Row],[Tarpaulin]],Table_NFI[[#This Row],[Tarpaulin]])</f>
        <v>0</v>
      </c>
      <c r="U65" s="179">
        <f ca="1">IF(NFI_Expiration=1,IF($A65&lt;VLOOKUP(M$5,NFI,5,0),1,0)*Table_NFI[[#This Row],[Blanket]],Table_NFI[[#This Row],[Blanket]])</f>
        <v>0</v>
      </c>
      <c r="V65" s="179">
        <f ca="1">IF(NFI_Expiration=1,IF($A65&lt;VLOOKUP(N$5,NFI,5,0),1,0)*Table_NFI[[#This Row],[Kitchen Set]],Table_NFI[[#This Row],[Kitchen Set]])</f>
        <v>0</v>
      </c>
      <c r="W65" s="179">
        <f ca="1">IF(NFI_Expiration=1,IF($A65&lt;VLOOKUP(O$5,NFI,5,0),1,0)*Table_NFI[[#This Row],[Complementary Kit]],Table_NFI[[#This Row],[Complementary Kit]])</f>
        <v>0</v>
      </c>
    </row>
    <row r="66" spans="1:23" ht="15">
      <c r="A66" s="125">
        <f ca="1" t="shared" si="2"/>
        <v>12.3</v>
      </c>
      <c r="B66" s="116">
        <v>41313</v>
      </c>
      <c r="C66" s="117" t="s">
        <v>962</v>
      </c>
      <c r="D66" s="91"/>
      <c r="E66" s="91" t="s">
        <v>434</v>
      </c>
      <c r="F66" s="117" t="s">
        <v>458</v>
      </c>
      <c r="G66" s="117" t="s">
        <v>502</v>
      </c>
      <c r="H66" s="118">
        <v>418</v>
      </c>
      <c r="I66" s="171"/>
      <c r="J66" s="171"/>
      <c r="K66" s="171"/>
      <c r="L66" s="171"/>
      <c r="M66" s="171"/>
      <c r="N66" s="171"/>
      <c r="O66" s="171"/>
      <c r="P66" s="179">
        <f ca="1">IF(NFI_Expiration=1,IF($A66&lt;VLOOKUP(H$5,NFI,5,0),1,0)*Table_NFI[[#This Row],[Hygiene Kit]],Table_NFI[[#This Row],[Hygiene Kit]])</f>
        <v>0</v>
      </c>
      <c r="Q66" s="179">
        <f ca="1">IF(NFI_Expiration=1,IF($A66&lt;VLOOKUP(I$5,NFI,5,0),1,0)*Table_NFI[[#This Row],[NFI Core Kit]],Table_NFI[[#This Row],[NFI Core Kit]])</f>
        <v>0</v>
      </c>
      <c r="R66" s="179">
        <f ca="1">IF(NFI_Expiration=1,IF($A66&lt;VLOOKUP(J$5,NFI,5,0),1,0)*Table_NFI[[#This Row],[Sanitary Kit]],Table_NFI[[#This Row],[Sanitary Kit]])</f>
        <v>0</v>
      </c>
      <c r="S66" s="179">
        <f ca="1">IF(NFI_Expiration=1,IF($A66&lt;VLOOKUP(K$5,NFI,5,0),1,0)*Table_NFI[[#This Row],[Mosquitoe net]],Table_NFI[[#This Row],[Mosquitoe net]])</f>
        <v>0</v>
      </c>
      <c r="T66" s="179">
        <f ca="1">IF(NFI_Expiration=1,IF($A66&lt;VLOOKUP(L$5,NFI,5,0),1,0)*Table_NFI[[#This Row],[Tarpaulin]],Table_NFI[[#This Row],[Tarpaulin]])</f>
        <v>0</v>
      </c>
      <c r="U66" s="179">
        <f ca="1">IF(NFI_Expiration=1,IF($A66&lt;VLOOKUP(M$5,NFI,5,0),1,0)*Table_NFI[[#This Row],[Blanket]],Table_NFI[[#This Row],[Blanket]])</f>
        <v>0</v>
      </c>
      <c r="V66" s="179">
        <f ca="1">IF(NFI_Expiration=1,IF($A66&lt;VLOOKUP(N$5,NFI,5,0),1,0)*Table_NFI[[#This Row],[Kitchen Set]],Table_NFI[[#This Row],[Kitchen Set]])</f>
        <v>0</v>
      </c>
      <c r="W66" s="179">
        <f ca="1">IF(NFI_Expiration=1,IF($A66&lt;VLOOKUP(O$5,NFI,5,0),1,0)*Table_NFI[[#This Row],[Complementary Kit]],Table_NFI[[#This Row],[Complementary Kit]])</f>
        <v>0</v>
      </c>
    </row>
    <row r="67" spans="1:23" ht="15">
      <c r="A67" s="125">
        <f ca="1" t="shared" si="2"/>
        <v>12.3</v>
      </c>
      <c r="B67" s="116">
        <v>41313</v>
      </c>
      <c r="C67" s="117" t="s">
        <v>962</v>
      </c>
      <c r="D67" s="91"/>
      <c r="E67" s="91" t="s">
        <v>434</v>
      </c>
      <c r="F67" s="117" t="s">
        <v>458</v>
      </c>
      <c r="G67" s="117" t="s">
        <v>503</v>
      </c>
      <c r="H67" s="118">
        <v>71</v>
      </c>
      <c r="I67" s="171"/>
      <c r="J67" s="171"/>
      <c r="K67" s="171"/>
      <c r="L67" s="171"/>
      <c r="M67" s="171"/>
      <c r="N67" s="171"/>
      <c r="O67" s="171"/>
      <c r="P67" s="179">
        <f ca="1">IF(NFI_Expiration=1,IF($A67&lt;VLOOKUP(H$5,NFI,5,0),1,0)*Table_NFI[[#This Row],[Hygiene Kit]],Table_NFI[[#This Row],[Hygiene Kit]])</f>
        <v>0</v>
      </c>
      <c r="Q67" s="179">
        <f ca="1">IF(NFI_Expiration=1,IF($A67&lt;VLOOKUP(I$5,NFI,5,0),1,0)*Table_NFI[[#This Row],[NFI Core Kit]],Table_NFI[[#This Row],[NFI Core Kit]])</f>
        <v>0</v>
      </c>
      <c r="R67" s="179">
        <f ca="1">IF(NFI_Expiration=1,IF($A67&lt;VLOOKUP(J$5,NFI,5,0),1,0)*Table_NFI[[#This Row],[Sanitary Kit]],Table_NFI[[#This Row],[Sanitary Kit]])</f>
        <v>0</v>
      </c>
      <c r="S67" s="179">
        <f ca="1">IF(NFI_Expiration=1,IF($A67&lt;VLOOKUP(K$5,NFI,5,0),1,0)*Table_NFI[[#This Row],[Mosquitoe net]],Table_NFI[[#This Row],[Mosquitoe net]])</f>
        <v>0</v>
      </c>
      <c r="T67" s="179">
        <f ca="1">IF(NFI_Expiration=1,IF($A67&lt;VLOOKUP(L$5,NFI,5,0),1,0)*Table_NFI[[#This Row],[Tarpaulin]],Table_NFI[[#This Row],[Tarpaulin]])</f>
        <v>0</v>
      </c>
      <c r="U67" s="179">
        <f ca="1">IF(NFI_Expiration=1,IF($A67&lt;VLOOKUP(M$5,NFI,5,0),1,0)*Table_NFI[[#This Row],[Blanket]],Table_NFI[[#This Row],[Blanket]])</f>
        <v>0</v>
      </c>
      <c r="V67" s="179">
        <f ca="1">IF(NFI_Expiration=1,IF($A67&lt;VLOOKUP(N$5,NFI,5,0),1,0)*Table_NFI[[#This Row],[Kitchen Set]],Table_NFI[[#This Row],[Kitchen Set]])</f>
        <v>0</v>
      </c>
      <c r="W67" s="179">
        <f ca="1">IF(NFI_Expiration=1,IF($A67&lt;VLOOKUP(O$5,NFI,5,0),1,0)*Table_NFI[[#This Row],[Complementary Kit]],Table_NFI[[#This Row],[Complementary Kit]])</f>
        <v>0</v>
      </c>
    </row>
    <row r="68" spans="1:23" ht="15">
      <c r="A68" s="125">
        <f ca="1" t="shared" si="2"/>
        <v>12.3</v>
      </c>
      <c r="B68" s="116">
        <v>41313</v>
      </c>
      <c r="C68" s="117" t="s">
        <v>962</v>
      </c>
      <c r="D68" s="91"/>
      <c r="E68" s="91" t="s">
        <v>434</v>
      </c>
      <c r="F68" s="117" t="s">
        <v>459</v>
      </c>
      <c r="G68" s="117" t="s">
        <v>504</v>
      </c>
      <c r="H68" s="118">
        <v>97</v>
      </c>
      <c r="I68" s="171"/>
      <c r="J68" s="171"/>
      <c r="K68" s="171"/>
      <c r="L68" s="171"/>
      <c r="M68" s="171"/>
      <c r="N68" s="171"/>
      <c r="O68" s="171"/>
      <c r="P68" s="179">
        <f ca="1">IF(NFI_Expiration=1,IF($A68&lt;VLOOKUP(H$5,NFI,5,0),1,0)*Table_NFI[[#This Row],[Hygiene Kit]],Table_NFI[[#This Row],[Hygiene Kit]])</f>
        <v>0</v>
      </c>
      <c r="Q68" s="179">
        <f ca="1">IF(NFI_Expiration=1,IF($A68&lt;VLOOKUP(I$5,NFI,5,0),1,0)*Table_NFI[[#This Row],[NFI Core Kit]],Table_NFI[[#This Row],[NFI Core Kit]])</f>
        <v>0</v>
      </c>
      <c r="R68" s="179">
        <f ca="1">IF(NFI_Expiration=1,IF($A68&lt;VLOOKUP(J$5,NFI,5,0),1,0)*Table_NFI[[#This Row],[Sanitary Kit]],Table_NFI[[#This Row],[Sanitary Kit]])</f>
        <v>0</v>
      </c>
      <c r="S68" s="179">
        <f ca="1">IF(NFI_Expiration=1,IF($A68&lt;VLOOKUP(K$5,NFI,5,0),1,0)*Table_NFI[[#This Row],[Mosquitoe net]],Table_NFI[[#This Row],[Mosquitoe net]])</f>
        <v>0</v>
      </c>
      <c r="T68" s="179">
        <f ca="1">IF(NFI_Expiration=1,IF($A68&lt;VLOOKUP(L$5,NFI,5,0),1,0)*Table_NFI[[#This Row],[Tarpaulin]],Table_NFI[[#This Row],[Tarpaulin]])</f>
        <v>0</v>
      </c>
      <c r="U68" s="179">
        <f ca="1">IF(NFI_Expiration=1,IF($A68&lt;VLOOKUP(M$5,NFI,5,0),1,0)*Table_NFI[[#This Row],[Blanket]],Table_NFI[[#This Row],[Blanket]])</f>
        <v>0</v>
      </c>
      <c r="V68" s="179">
        <f ca="1">IF(NFI_Expiration=1,IF($A68&lt;VLOOKUP(N$5,NFI,5,0),1,0)*Table_NFI[[#This Row],[Kitchen Set]],Table_NFI[[#This Row],[Kitchen Set]])</f>
        <v>0</v>
      </c>
      <c r="W68" s="179">
        <f ca="1">IF(NFI_Expiration=1,IF($A68&lt;VLOOKUP(O$5,NFI,5,0),1,0)*Table_NFI[[#This Row],[Complementary Kit]],Table_NFI[[#This Row],[Complementary Kit]])</f>
        <v>0</v>
      </c>
    </row>
    <row r="69" spans="1:23" ht="15">
      <c r="A69" s="125">
        <f ca="1" t="shared" si="2"/>
        <v>12.3</v>
      </c>
      <c r="B69" s="116">
        <v>41313</v>
      </c>
      <c r="C69" s="117" t="s">
        <v>962</v>
      </c>
      <c r="D69" s="91"/>
      <c r="E69" s="91" t="s">
        <v>434</v>
      </c>
      <c r="F69" s="117" t="s">
        <v>459</v>
      </c>
      <c r="G69" s="117" t="s">
        <v>505</v>
      </c>
      <c r="H69" s="118">
        <v>24</v>
      </c>
      <c r="I69" s="171"/>
      <c r="J69" s="171"/>
      <c r="K69" s="171"/>
      <c r="L69" s="171"/>
      <c r="M69" s="171"/>
      <c r="N69" s="171"/>
      <c r="O69" s="171"/>
      <c r="P69" s="179">
        <f ca="1">IF(NFI_Expiration=1,IF($A69&lt;VLOOKUP(H$5,NFI,5,0),1,0)*Table_NFI[[#This Row],[Hygiene Kit]],Table_NFI[[#This Row],[Hygiene Kit]])</f>
        <v>0</v>
      </c>
      <c r="Q69" s="179">
        <f ca="1">IF(NFI_Expiration=1,IF($A69&lt;VLOOKUP(I$5,NFI,5,0),1,0)*Table_NFI[[#This Row],[NFI Core Kit]],Table_NFI[[#This Row],[NFI Core Kit]])</f>
        <v>0</v>
      </c>
      <c r="R69" s="179">
        <f ca="1">IF(NFI_Expiration=1,IF($A69&lt;VLOOKUP(J$5,NFI,5,0),1,0)*Table_NFI[[#This Row],[Sanitary Kit]],Table_NFI[[#This Row],[Sanitary Kit]])</f>
        <v>0</v>
      </c>
      <c r="S69" s="179">
        <f ca="1">IF(NFI_Expiration=1,IF($A69&lt;VLOOKUP(K$5,NFI,5,0),1,0)*Table_NFI[[#This Row],[Mosquitoe net]],Table_NFI[[#This Row],[Mosquitoe net]])</f>
        <v>0</v>
      </c>
      <c r="T69" s="179">
        <f ca="1">IF(NFI_Expiration=1,IF($A69&lt;VLOOKUP(L$5,NFI,5,0),1,0)*Table_NFI[[#This Row],[Tarpaulin]],Table_NFI[[#This Row],[Tarpaulin]])</f>
        <v>0</v>
      </c>
      <c r="U69" s="179">
        <f ca="1">IF(NFI_Expiration=1,IF($A69&lt;VLOOKUP(M$5,NFI,5,0),1,0)*Table_NFI[[#This Row],[Blanket]],Table_NFI[[#This Row],[Blanket]])</f>
        <v>0</v>
      </c>
      <c r="V69" s="179">
        <f ca="1">IF(NFI_Expiration=1,IF($A69&lt;VLOOKUP(N$5,NFI,5,0),1,0)*Table_NFI[[#This Row],[Kitchen Set]],Table_NFI[[#This Row],[Kitchen Set]])</f>
        <v>0</v>
      </c>
      <c r="W69" s="179">
        <f ca="1">IF(NFI_Expiration=1,IF($A69&lt;VLOOKUP(O$5,NFI,5,0),1,0)*Table_NFI[[#This Row],[Complementary Kit]],Table_NFI[[#This Row],[Complementary Kit]])</f>
        <v>0</v>
      </c>
    </row>
    <row r="70" spans="1:23" ht="15">
      <c r="A70" s="125">
        <f ca="1" t="shared" si="2"/>
        <v>12.333333333333334</v>
      </c>
      <c r="B70" s="115">
        <v>41312</v>
      </c>
      <c r="C70" s="117" t="s">
        <v>960</v>
      </c>
      <c r="D70" s="91"/>
      <c r="E70" s="122" t="s">
        <v>434</v>
      </c>
      <c r="F70" s="1" t="s">
        <v>455</v>
      </c>
      <c r="G70" s="91" t="s">
        <v>483</v>
      </c>
      <c r="H70" s="91"/>
      <c r="I70" s="171"/>
      <c r="J70" s="171"/>
      <c r="K70" s="171"/>
      <c r="L70" s="171"/>
      <c r="M70" s="171">
        <v>500</v>
      </c>
      <c r="N70" s="171"/>
      <c r="O70" s="171"/>
      <c r="P70" s="179">
        <f ca="1">IF(NFI_Expiration=1,IF($A70&lt;VLOOKUP(H$5,NFI,5,0),1,0)*Table_NFI[[#This Row],[Hygiene Kit]],Table_NFI[[#This Row],[Hygiene Kit]])</f>
        <v>0</v>
      </c>
      <c r="Q70" s="179">
        <f ca="1">IF(NFI_Expiration=1,IF($A70&lt;VLOOKUP(I$5,NFI,5,0),1,0)*Table_NFI[[#This Row],[NFI Core Kit]],Table_NFI[[#This Row],[NFI Core Kit]])</f>
        <v>0</v>
      </c>
      <c r="R70" s="179">
        <f ca="1">IF(NFI_Expiration=1,IF($A70&lt;VLOOKUP(J$5,NFI,5,0),1,0)*Table_NFI[[#This Row],[Sanitary Kit]],Table_NFI[[#This Row],[Sanitary Kit]])</f>
        <v>0</v>
      </c>
      <c r="S70" s="179">
        <f ca="1">IF(NFI_Expiration=1,IF($A70&lt;VLOOKUP(K$5,NFI,5,0),1,0)*Table_NFI[[#This Row],[Mosquitoe net]],Table_NFI[[#This Row],[Mosquitoe net]])</f>
        <v>0</v>
      </c>
      <c r="T70" s="179">
        <f ca="1">IF(NFI_Expiration=1,IF($A70&lt;VLOOKUP(L$5,NFI,5,0),1,0)*Table_NFI[[#This Row],[Tarpaulin]],Table_NFI[[#This Row],[Tarpaulin]])</f>
        <v>0</v>
      </c>
      <c r="U70" s="179">
        <f ca="1">IF(NFI_Expiration=1,IF($A70&lt;VLOOKUP(M$5,NFI,5,0),1,0)*Table_NFI[[#This Row],[Blanket]],Table_NFI[[#This Row],[Blanket]])</f>
        <v>0</v>
      </c>
      <c r="V70" s="179">
        <f ca="1">IF(NFI_Expiration=1,IF($A70&lt;VLOOKUP(N$5,NFI,5,0),1,0)*Table_NFI[[#This Row],[Kitchen Set]],Table_NFI[[#This Row],[Kitchen Set]])</f>
        <v>0</v>
      </c>
      <c r="W70" s="179">
        <f ca="1">IF(NFI_Expiration=1,IF($A70&lt;VLOOKUP(O$5,NFI,5,0),1,0)*Table_NFI[[#This Row],[Complementary Kit]],Table_NFI[[#This Row],[Complementary Kit]])</f>
        <v>0</v>
      </c>
    </row>
    <row r="71" spans="1:23" ht="15">
      <c r="A71" s="125">
        <f ca="1" t="shared" si="2"/>
        <v>12.9</v>
      </c>
      <c r="B71" s="115">
        <v>41295</v>
      </c>
      <c r="C71" s="91" t="s">
        <v>964</v>
      </c>
      <c r="D71" s="91" t="s">
        <v>960</v>
      </c>
      <c r="E71" s="91" t="s">
        <v>434</v>
      </c>
      <c r="F71" s="1" t="s">
        <v>460</v>
      </c>
      <c r="G71" s="91" t="s">
        <v>876</v>
      </c>
      <c r="H71" s="91"/>
      <c r="I71" s="171"/>
      <c r="J71" s="171"/>
      <c r="K71" s="171"/>
      <c r="L71" s="171"/>
      <c r="M71" s="171">
        <v>38</v>
      </c>
      <c r="N71" s="171"/>
      <c r="O71" s="171"/>
      <c r="P71" s="179">
        <f ca="1">IF(NFI_Expiration=1,IF($A71&lt;VLOOKUP(H$5,NFI,5,0),1,0)*Table_NFI[[#This Row],[Hygiene Kit]],Table_NFI[[#This Row],[Hygiene Kit]])</f>
        <v>0</v>
      </c>
      <c r="Q71" s="179">
        <f ca="1">IF(NFI_Expiration=1,IF($A71&lt;VLOOKUP(I$5,NFI,5,0),1,0)*Table_NFI[[#This Row],[NFI Core Kit]],Table_NFI[[#This Row],[NFI Core Kit]])</f>
        <v>0</v>
      </c>
      <c r="R71" s="179">
        <f ca="1">IF(NFI_Expiration=1,IF($A71&lt;VLOOKUP(J$5,NFI,5,0),1,0)*Table_NFI[[#This Row],[Sanitary Kit]],Table_NFI[[#This Row],[Sanitary Kit]])</f>
        <v>0</v>
      </c>
      <c r="S71" s="179">
        <f ca="1">IF(NFI_Expiration=1,IF($A71&lt;VLOOKUP(K$5,NFI,5,0),1,0)*Table_NFI[[#This Row],[Mosquitoe net]],Table_NFI[[#This Row],[Mosquitoe net]])</f>
        <v>0</v>
      </c>
      <c r="T71" s="179">
        <f ca="1">IF(NFI_Expiration=1,IF($A71&lt;VLOOKUP(L$5,NFI,5,0),1,0)*Table_NFI[[#This Row],[Tarpaulin]],Table_NFI[[#This Row],[Tarpaulin]])</f>
        <v>0</v>
      </c>
      <c r="U71" s="179">
        <f ca="1">IF(NFI_Expiration=1,IF($A71&lt;VLOOKUP(M$5,NFI,5,0),1,0)*Table_NFI[[#This Row],[Blanket]],Table_NFI[[#This Row],[Blanket]])</f>
        <v>0</v>
      </c>
      <c r="V71" s="179">
        <f ca="1">IF(NFI_Expiration=1,IF($A71&lt;VLOOKUP(N$5,NFI,5,0),1,0)*Table_NFI[[#This Row],[Kitchen Set]],Table_NFI[[#This Row],[Kitchen Set]])</f>
        <v>0</v>
      </c>
      <c r="W71" s="179">
        <f ca="1">IF(NFI_Expiration=1,IF($A71&lt;VLOOKUP(O$5,NFI,5,0),1,0)*Table_NFI[[#This Row],[Complementary Kit]],Table_NFI[[#This Row],[Complementary Kit]])</f>
        <v>0</v>
      </c>
    </row>
    <row r="72" spans="1:23" ht="15">
      <c r="A72" s="125">
        <f ca="1" t="shared" si="2"/>
        <v>13</v>
      </c>
      <c r="B72" s="115">
        <v>41292</v>
      </c>
      <c r="C72" s="91" t="s">
        <v>960</v>
      </c>
      <c r="D72" s="91"/>
      <c r="E72" s="91" t="s">
        <v>434</v>
      </c>
      <c r="F72" s="1" t="s">
        <v>461</v>
      </c>
      <c r="G72" s="91" t="s">
        <v>555</v>
      </c>
      <c r="H72" s="91"/>
      <c r="I72" s="171">
        <v>63</v>
      </c>
      <c r="J72" s="171">
        <v>63</v>
      </c>
      <c r="K72" s="236">
        <v>126</v>
      </c>
      <c r="L72" s="171">
        <v>63</v>
      </c>
      <c r="M72" s="171">
        <v>0</v>
      </c>
      <c r="N72" s="171"/>
      <c r="O72" s="171"/>
      <c r="P72" s="179">
        <f ca="1">IF(NFI_Expiration=1,IF($A72&lt;VLOOKUP(H$5,NFI,5,0),1,0)*Table_NFI[[#This Row],[Hygiene Kit]],Table_NFI[[#This Row],[Hygiene Kit]])</f>
        <v>0</v>
      </c>
      <c r="Q72" s="179">
        <f ca="1">IF(NFI_Expiration=1,IF($A72&lt;VLOOKUP(I$5,NFI,5,0),1,0)*Table_NFI[[#This Row],[NFI Core Kit]],Table_NFI[[#This Row],[NFI Core Kit]])</f>
        <v>0</v>
      </c>
      <c r="R72" s="179">
        <f ca="1">IF(NFI_Expiration=1,IF($A72&lt;VLOOKUP(J$5,NFI,5,0),1,0)*Table_NFI[[#This Row],[Sanitary Kit]],Table_NFI[[#This Row],[Sanitary Kit]])</f>
        <v>0</v>
      </c>
      <c r="S72" s="179">
        <f ca="1">IF(NFI_Expiration=1,IF($A72&lt;VLOOKUP(K$5,NFI,5,0),1,0)*Table_NFI[[#This Row],[Mosquitoe net]],Table_NFI[[#This Row],[Mosquitoe net]])</f>
        <v>0</v>
      </c>
      <c r="T72" s="179">
        <f ca="1">IF(NFI_Expiration=1,IF($A72&lt;VLOOKUP(L$5,NFI,5,0),1,0)*Table_NFI[[#This Row],[Tarpaulin]],Table_NFI[[#This Row],[Tarpaulin]])</f>
        <v>0</v>
      </c>
      <c r="U72" s="179">
        <f ca="1">IF(NFI_Expiration=1,IF($A72&lt;VLOOKUP(M$5,NFI,5,0),1,0)*Table_NFI[[#This Row],[Blanket]],Table_NFI[[#This Row],[Blanket]])</f>
        <v>0</v>
      </c>
      <c r="V72" s="179">
        <f ca="1">IF(NFI_Expiration=1,IF($A72&lt;VLOOKUP(N$5,NFI,5,0),1,0)*Table_NFI[[#This Row],[Kitchen Set]],Table_NFI[[#This Row],[Kitchen Set]])</f>
        <v>0</v>
      </c>
      <c r="W72" s="179">
        <f ca="1">IF(NFI_Expiration=1,IF($A72&lt;VLOOKUP(O$5,NFI,5,0),1,0)*Table_NFI[[#This Row],[Complementary Kit]],Table_NFI[[#This Row],[Complementary Kit]])</f>
        <v>0</v>
      </c>
    </row>
    <row r="73" spans="1:23" ht="15">
      <c r="A73" s="125">
        <f ca="1" t="shared" si="2"/>
        <v>13</v>
      </c>
      <c r="B73" s="115">
        <v>41292</v>
      </c>
      <c r="C73" s="91" t="s">
        <v>964</v>
      </c>
      <c r="D73" s="91" t="s">
        <v>960</v>
      </c>
      <c r="E73" s="91" t="s">
        <v>434</v>
      </c>
      <c r="F73" s="1" t="s">
        <v>460</v>
      </c>
      <c r="G73" s="91" t="s">
        <v>876</v>
      </c>
      <c r="H73" s="91"/>
      <c r="I73" s="171"/>
      <c r="J73" s="171"/>
      <c r="K73" s="236"/>
      <c r="L73" s="171"/>
      <c r="M73" s="171">
        <v>50</v>
      </c>
      <c r="N73" s="171"/>
      <c r="O73" s="171"/>
      <c r="P73" s="179">
        <f ca="1">IF(NFI_Expiration=1,IF($A73&lt;VLOOKUP(H$5,NFI,5,0),1,0)*Table_NFI[[#This Row],[Hygiene Kit]],Table_NFI[[#This Row],[Hygiene Kit]])</f>
        <v>0</v>
      </c>
      <c r="Q73" s="179">
        <f ca="1">IF(NFI_Expiration=1,IF($A73&lt;VLOOKUP(I$5,NFI,5,0),1,0)*Table_NFI[[#This Row],[NFI Core Kit]],Table_NFI[[#This Row],[NFI Core Kit]])</f>
        <v>0</v>
      </c>
      <c r="R73" s="179">
        <f ca="1">IF(NFI_Expiration=1,IF($A73&lt;VLOOKUP(J$5,NFI,5,0),1,0)*Table_NFI[[#This Row],[Sanitary Kit]],Table_NFI[[#This Row],[Sanitary Kit]])</f>
        <v>0</v>
      </c>
      <c r="S73" s="179">
        <f ca="1">IF(NFI_Expiration=1,IF($A73&lt;VLOOKUP(K$5,NFI,5,0),1,0)*Table_NFI[[#This Row],[Mosquitoe net]],Table_NFI[[#This Row],[Mosquitoe net]])</f>
        <v>0</v>
      </c>
      <c r="T73" s="179">
        <f ca="1">IF(NFI_Expiration=1,IF($A73&lt;VLOOKUP(L$5,NFI,5,0),1,0)*Table_NFI[[#This Row],[Tarpaulin]],Table_NFI[[#This Row],[Tarpaulin]])</f>
        <v>0</v>
      </c>
      <c r="U73" s="179">
        <f ca="1">IF(NFI_Expiration=1,IF($A73&lt;VLOOKUP(M$5,NFI,5,0),1,0)*Table_NFI[[#This Row],[Blanket]],Table_NFI[[#This Row],[Blanket]])</f>
        <v>0</v>
      </c>
      <c r="V73" s="179">
        <f ca="1">IF(NFI_Expiration=1,IF($A73&lt;VLOOKUP(N$5,NFI,5,0),1,0)*Table_NFI[[#This Row],[Kitchen Set]],Table_NFI[[#This Row],[Kitchen Set]])</f>
        <v>0</v>
      </c>
      <c r="W73" s="179">
        <f ca="1">IF(NFI_Expiration=1,IF($A73&lt;VLOOKUP(O$5,NFI,5,0),1,0)*Table_NFI[[#This Row],[Complementary Kit]],Table_NFI[[#This Row],[Complementary Kit]])</f>
        <v>0</v>
      </c>
    </row>
    <row r="74" spans="1:23" ht="15">
      <c r="A74" s="125">
        <f ca="1" t="shared" si="2"/>
        <v>13.033333333333333</v>
      </c>
      <c r="B74" s="115">
        <v>41291</v>
      </c>
      <c r="C74" s="91" t="s">
        <v>964</v>
      </c>
      <c r="D74" s="91" t="s">
        <v>960</v>
      </c>
      <c r="E74" s="91" t="s">
        <v>434</v>
      </c>
      <c r="F74" s="1" t="s">
        <v>460</v>
      </c>
      <c r="G74" s="91" t="s">
        <v>876</v>
      </c>
      <c r="H74" s="91"/>
      <c r="I74" s="171"/>
      <c r="J74" s="171"/>
      <c r="K74" s="236"/>
      <c r="L74" s="171"/>
      <c r="M74" s="171">
        <v>50</v>
      </c>
      <c r="N74" s="171"/>
      <c r="O74" s="171"/>
      <c r="P74" s="179">
        <f ca="1">IF(NFI_Expiration=1,IF($A74&lt;VLOOKUP(H$5,NFI,5,0),1,0)*Table_NFI[[#This Row],[Hygiene Kit]],Table_NFI[[#This Row],[Hygiene Kit]])</f>
        <v>0</v>
      </c>
      <c r="Q74" s="179">
        <f ca="1">IF(NFI_Expiration=1,IF($A74&lt;VLOOKUP(I$5,NFI,5,0),1,0)*Table_NFI[[#This Row],[NFI Core Kit]],Table_NFI[[#This Row],[NFI Core Kit]])</f>
        <v>0</v>
      </c>
      <c r="R74" s="179">
        <f ca="1">IF(NFI_Expiration=1,IF($A74&lt;VLOOKUP(J$5,NFI,5,0),1,0)*Table_NFI[[#This Row],[Sanitary Kit]],Table_NFI[[#This Row],[Sanitary Kit]])</f>
        <v>0</v>
      </c>
      <c r="S74" s="179">
        <f ca="1">IF(NFI_Expiration=1,IF($A74&lt;VLOOKUP(K$5,NFI,5,0),1,0)*Table_NFI[[#This Row],[Mosquitoe net]],Table_NFI[[#This Row],[Mosquitoe net]])</f>
        <v>0</v>
      </c>
      <c r="T74" s="179">
        <f ca="1">IF(NFI_Expiration=1,IF($A74&lt;VLOOKUP(L$5,NFI,5,0),1,0)*Table_NFI[[#This Row],[Tarpaulin]],Table_NFI[[#This Row],[Tarpaulin]])</f>
        <v>0</v>
      </c>
      <c r="U74" s="179">
        <f ca="1">IF(NFI_Expiration=1,IF($A74&lt;VLOOKUP(M$5,NFI,5,0),1,0)*Table_NFI[[#This Row],[Blanket]],Table_NFI[[#This Row],[Blanket]])</f>
        <v>0</v>
      </c>
      <c r="V74" s="179">
        <f ca="1">IF(NFI_Expiration=1,IF($A74&lt;VLOOKUP(N$5,NFI,5,0),1,0)*Table_NFI[[#This Row],[Kitchen Set]],Table_NFI[[#This Row],[Kitchen Set]])</f>
        <v>0</v>
      </c>
      <c r="W74" s="179">
        <f ca="1">IF(NFI_Expiration=1,IF($A74&lt;VLOOKUP(O$5,NFI,5,0),1,0)*Table_NFI[[#This Row],[Complementary Kit]],Table_NFI[[#This Row],[Complementary Kit]])</f>
        <v>0</v>
      </c>
    </row>
    <row r="75" spans="1:23" ht="15">
      <c r="A75" s="125">
        <f ca="1" t="shared" si="2"/>
        <v>13.266666666666667</v>
      </c>
      <c r="B75" s="115">
        <v>41284</v>
      </c>
      <c r="C75" s="91" t="s">
        <v>960</v>
      </c>
      <c r="D75" s="91"/>
      <c r="E75" s="91" t="s">
        <v>434</v>
      </c>
      <c r="F75" s="1" t="s">
        <v>461</v>
      </c>
      <c r="G75" s="91" t="s">
        <v>554</v>
      </c>
      <c r="H75" s="91"/>
      <c r="I75" s="171">
        <v>56</v>
      </c>
      <c r="J75" s="171">
        <v>112</v>
      </c>
      <c r="K75" s="236">
        <v>112</v>
      </c>
      <c r="L75" s="171">
        <v>56</v>
      </c>
      <c r="M75" s="171">
        <v>0</v>
      </c>
      <c r="N75" s="171"/>
      <c r="O75" s="171"/>
      <c r="P75" s="179">
        <f ca="1">IF(NFI_Expiration=1,IF($A75&lt;VLOOKUP(H$5,NFI,5,0),1,0)*Table_NFI[[#This Row],[Hygiene Kit]],Table_NFI[[#This Row],[Hygiene Kit]])</f>
        <v>0</v>
      </c>
      <c r="Q75" s="179">
        <f ca="1">IF(NFI_Expiration=1,IF($A75&lt;VLOOKUP(I$5,NFI,5,0),1,0)*Table_NFI[[#This Row],[NFI Core Kit]],Table_NFI[[#This Row],[NFI Core Kit]])</f>
        <v>0</v>
      </c>
      <c r="R75" s="179">
        <f ca="1">IF(NFI_Expiration=1,IF($A75&lt;VLOOKUP(J$5,NFI,5,0),1,0)*Table_NFI[[#This Row],[Sanitary Kit]],Table_NFI[[#This Row],[Sanitary Kit]])</f>
        <v>0</v>
      </c>
      <c r="S75" s="179">
        <f ca="1">IF(NFI_Expiration=1,IF($A75&lt;VLOOKUP(K$5,NFI,5,0),1,0)*Table_NFI[[#This Row],[Mosquitoe net]],Table_NFI[[#This Row],[Mosquitoe net]])</f>
        <v>0</v>
      </c>
      <c r="T75" s="179">
        <f ca="1">IF(NFI_Expiration=1,IF($A75&lt;VLOOKUP(L$5,NFI,5,0),1,0)*Table_NFI[[#This Row],[Tarpaulin]],Table_NFI[[#This Row],[Tarpaulin]])</f>
        <v>0</v>
      </c>
      <c r="U75" s="179">
        <f ca="1">IF(NFI_Expiration=1,IF($A75&lt;VLOOKUP(M$5,NFI,5,0),1,0)*Table_NFI[[#This Row],[Blanket]],Table_NFI[[#This Row],[Blanket]])</f>
        <v>0</v>
      </c>
      <c r="V75" s="179">
        <f ca="1">IF(NFI_Expiration=1,IF($A75&lt;VLOOKUP(N$5,NFI,5,0),1,0)*Table_NFI[[#This Row],[Kitchen Set]],Table_NFI[[#This Row],[Kitchen Set]])</f>
        <v>0</v>
      </c>
      <c r="W75" s="179">
        <f ca="1">IF(NFI_Expiration=1,IF($A75&lt;VLOOKUP(O$5,NFI,5,0),1,0)*Table_NFI[[#This Row],[Complementary Kit]],Table_NFI[[#This Row],[Complementary Kit]])</f>
        <v>0</v>
      </c>
    </row>
    <row r="76" spans="1:23" ht="15">
      <c r="A76" s="125">
        <f ca="1" t="shared" si="2"/>
        <v>13.266666666666667</v>
      </c>
      <c r="B76" s="115">
        <v>41284</v>
      </c>
      <c r="C76" s="91" t="s">
        <v>964</v>
      </c>
      <c r="D76" s="91" t="s">
        <v>960</v>
      </c>
      <c r="E76" s="91" t="s">
        <v>434</v>
      </c>
      <c r="F76" s="1" t="s">
        <v>460</v>
      </c>
      <c r="G76" s="91" t="s">
        <v>876</v>
      </c>
      <c r="H76" s="91"/>
      <c r="I76" s="171"/>
      <c r="J76" s="171"/>
      <c r="K76" s="236"/>
      <c r="L76" s="171"/>
      <c r="M76" s="171">
        <v>45</v>
      </c>
      <c r="N76" s="171"/>
      <c r="O76" s="171"/>
      <c r="P76" s="179">
        <f ca="1">IF(NFI_Expiration=1,IF($A76&lt;VLOOKUP(H$5,NFI,5,0),1,0)*Table_NFI[[#This Row],[Hygiene Kit]],Table_NFI[[#This Row],[Hygiene Kit]])</f>
        <v>0</v>
      </c>
      <c r="Q76" s="179">
        <f ca="1">IF(NFI_Expiration=1,IF($A76&lt;VLOOKUP(I$5,NFI,5,0),1,0)*Table_NFI[[#This Row],[NFI Core Kit]],Table_NFI[[#This Row],[NFI Core Kit]])</f>
        <v>0</v>
      </c>
      <c r="R76" s="179">
        <f ca="1">IF(NFI_Expiration=1,IF($A76&lt;VLOOKUP(J$5,NFI,5,0),1,0)*Table_NFI[[#This Row],[Sanitary Kit]],Table_NFI[[#This Row],[Sanitary Kit]])</f>
        <v>0</v>
      </c>
      <c r="S76" s="179">
        <f ca="1">IF(NFI_Expiration=1,IF($A76&lt;VLOOKUP(K$5,NFI,5,0),1,0)*Table_NFI[[#This Row],[Mosquitoe net]],Table_NFI[[#This Row],[Mosquitoe net]])</f>
        <v>0</v>
      </c>
      <c r="T76" s="179">
        <f ca="1">IF(NFI_Expiration=1,IF($A76&lt;VLOOKUP(L$5,NFI,5,0),1,0)*Table_NFI[[#This Row],[Tarpaulin]],Table_NFI[[#This Row],[Tarpaulin]])</f>
        <v>0</v>
      </c>
      <c r="U76" s="179">
        <f ca="1">IF(NFI_Expiration=1,IF($A76&lt;VLOOKUP(M$5,NFI,5,0),1,0)*Table_NFI[[#This Row],[Blanket]],Table_NFI[[#This Row],[Blanket]])</f>
        <v>0</v>
      </c>
      <c r="V76" s="179">
        <f ca="1">IF(NFI_Expiration=1,IF($A76&lt;VLOOKUP(N$5,NFI,5,0),1,0)*Table_NFI[[#This Row],[Kitchen Set]],Table_NFI[[#This Row],[Kitchen Set]])</f>
        <v>0</v>
      </c>
      <c r="W76" s="179">
        <f ca="1">IF(NFI_Expiration=1,IF($A76&lt;VLOOKUP(O$5,NFI,5,0),1,0)*Table_NFI[[#This Row],[Complementary Kit]],Table_NFI[[#This Row],[Complementary Kit]])</f>
        <v>0</v>
      </c>
    </row>
    <row r="77" spans="1:23" ht="15">
      <c r="A77" s="125">
        <f ca="1" t="shared" si="2"/>
        <v>13.3</v>
      </c>
      <c r="B77" s="115">
        <v>41283</v>
      </c>
      <c r="C77" s="91" t="s">
        <v>964</v>
      </c>
      <c r="D77" s="91" t="s">
        <v>960</v>
      </c>
      <c r="E77" s="91" t="s">
        <v>434</v>
      </c>
      <c r="F77" s="1" t="s">
        <v>460</v>
      </c>
      <c r="G77" s="91" t="s">
        <v>876</v>
      </c>
      <c r="H77" s="91"/>
      <c r="I77" s="171"/>
      <c r="J77" s="171"/>
      <c r="K77" s="236"/>
      <c r="L77" s="171"/>
      <c r="M77" s="171">
        <v>50</v>
      </c>
      <c r="N77" s="171"/>
      <c r="O77" s="171"/>
      <c r="P77" s="179">
        <f ca="1">IF(NFI_Expiration=1,IF($A77&lt;VLOOKUP(H$5,NFI,5,0),1,0)*Table_NFI[[#This Row],[Hygiene Kit]],Table_NFI[[#This Row],[Hygiene Kit]])</f>
        <v>0</v>
      </c>
      <c r="Q77" s="179">
        <f ca="1">IF(NFI_Expiration=1,IF($A77&lt;VLOOKUP(I$5,NFI,5,0),1,0)*Table_NFI[[#This Row],[NFI Core Kit]],Table_NFI[[#This Row],[NFI Core Kit]])</f>
        <v>0</v>
      </c>
      <c r="R77" s="179">
        <f ca="1">IF(NFI_Expiration=1,IF($A77&lt;VLOOKUP(J$5,NFI,5,0),1,0)*Table_NFI[[#This Row],[Sanitary Kit]],Table_NFI[[#This Row],[Sanitary Kit]])</f>
        <v>0</v>
      </c>
      <c r="S77" s="179">
        <f ca="1">IF(NFI_Expiration=1,IF($A77&lt;VLOOKUP(K$5,NFI,5,0),1,0)*Table_NFI[[#This Row],[Mosquitoe net]],Table_NFI[[#This Row],[Mosquitoe net]])</f>
        <v>0</v>
      </c>
      <c r="T77" s="179">
        <f ca="1">IF(NFI_Expiration=1,IF($A77&lt;VLOOKUP(L$5,NFI,5,0),1,0)*Table_NFI[[#This Row],[Tarpaulin]],Table_NFI[[#This Row],[Tarpaulin]])</f>
        <v>0</v>
      </c>
      <c r="U77" s="179">
        <f ca="1">IF(NFI_Expiration=1,IF($A77&lt;VLOOKUP(M$5,NFI,5,0),1,0)*Table_NFI[[#This Row],[Blanket]],Table_NFI[[#This Row],[Blanket]])</f>
        <v>0</v>
      </c>
      <c r="V77" s="179">
        <f ca="1">IF(NFI_Expiration=1,IF($A77&lt;VLOOKUP(N$5,NFI,5,0),1,0)*Table_NFI[[#This Row],[Kitchen Set]],Table_NFI[[#This Row],[Kitchen Set]])</f>
        <v>0</v>
      </c>
      <c r="W77" s="179">
        <f ca="1">IF(NFI_Expiration=1,IF($A77&lt;VLOOKUP(O$5,NFI,5,0),1,0)*Table_NFI[[#This Row],[Complementary Kit]],Table_NFI[[#This Row],[Complementary Kit]])</f>
        <v>0</v>
      </c>
    </row>
    <row r="78" spans="1:23" ht="15">
      <c r="A78" s="125">
        <f ca="1" t="shared" si="2"/>
        <v>13.366666666666667</v>
      </c>
      <c r="B78" s="115">
        <v>41281</v>
      </c>
      <c r="C78" s="91" t="s">
        <v>960</v>
      </c>
      <c r="D78" s="91"/>
      <c r="E78" s="91" t="s">
        <v>434</v>
      </c>
      <c r="F78" s="1" t="s">
        <v>461</v>
      </c>
      <c r="G78" s="91" t="s">
        <v>550</v>
      </c>
      <c r="H78" s="91"/>
      <c r="I78" s="171">
        <v>93</v>
      </c>
      <c r="J78" s="171">
        <v>186</v>
      </c>
      <c r="K78" s="236">
        <v>186</v>
      </c>
      <c r="L78" s="171">
        <v>93</v>
      </c>
      <c r="M78" s="171">
        <v>0</v>
      </c>
      <c r="N78" s="171"/>
      <c r="O78" s="171"/>
      <c r="P78" s="179">
        <f ca="1">IF(NFI_Expiration=1,IF($A78&lt;VLOOKUP(H$5,NFI,5,0),1,0)*Table_NFI[[#This Row],[Hygiene Kit]],Table_NFI[[#This Row],[Hygiene Kit]])</f>
        <v>0</v>
      </c>
      <c r="Q78" s="179">
        <f ca="1">IF(NFI_Expiration=1,IF($A78&lt;VLOOKUP(I$5,NFI,5,0),1,0)*Table_NFI[[#This Row],[NFI Core Kit]],Table_NFI[[#This Row],[NFI Core Kit]])</f>
        <v>0</v>
      </c>
      <c r="R78" s="179">
        <f ca="1">IF(NFI_Expiration=1,IF($A78&lt;VLOOKUP(J$5,NFI,5,0),1,0)*Table_NFI[[#This Row],[Sanitary Kit]],Table_NFI[[#This Row],[Sanitary Kit]])</f>
        <v>0</v>
      </c>
      <c r="S78" s="179">
        <f ca="1">IF(NFI_Expiration=1,IF($A78&lt;VLOOKUP(K$5,NFI,5,0),1,0)*Table_NFI[[#This Row],[Mosquitoe net]],Table_NFI[[#This Row],[Mosquitoe net]])</f>
        <v>0</v>
      </c>
      <c r="T78" s="179">
        <f ca="1">IF(NFI_Expiration=1,IF($A78&lt;VLOOKUP(L$5,NFI,5,0),1,0)*Table_NFI[[#This Row],[Tarpaulin]],Table_NFI[[#This Row],[Tarpaulin]])</f>
        <v>0</v>
      </c>
      <c r="U78" s="179">
        <f ca="1">IF(NFI_Expiration=1,IF($A78&lt;VLOOKUP(M$5,NFI,5,0),1,0)*Table_NFI[[#This Row],[Blanket]],Table_NFI[[#This Row],[Blanket]])</f>
        <v>0</v>
      </c>
      <c r="V78" s="179">
        <f ca="1">IF(NFI_Expiration=1,IF($A78&lt;VLOOKUP(N$5,NFI,5,0),1,0)*Table_NFI[[#This Row],[Kitchen Set]],Table_NFI[[#This Row],[Kitchen Set]])</f>
        <v>0</v>
      </c>
      <c r="W78" s="179">
        <f ca="1">IF(NFI_Expiration=1,IF($A78&lt;VLOOKUP(O$5,NFI,5,0),1,0)*Table_NFI[[#This Row],[Complementary Kit]],Table_NFI[[#This Row],[Complementary Kit]])</f>
        <v>0</v>
      </c>
    </row>
    <row r="79" spans="1:23" ht="15">
      <c r="A79" s="125">
        <f ca="1" t="shared" si="2"/>
        <v>13.366666666666667</v>
      </c>
      <c r="B79" s="115">
        <v>41281</v>
      </c>
      <c r="C79" s="91" t="s">
        <v>960</v>
      </c>
      <c r="D79" s="91"/>
      <c r="E79" s="91" t="s">
        <v>434</v>
      </c>
      <c r="F79" s="1" t="s">
        <v>457</v>
      </c>
      <c r="G79" s="91" t="s">
        <v>501</v>
      </c>
      <c r="H79" s="91"/>
      <c r="I79" s="171">
        <v>228</v>
      </c>
      <c r="J79" s="171">
        <v>228</v>
      </c>
      <c r="K79" s="236">
        <v>443</v>
      </c>
      <c r="L79" s="171">
        <v>228</v>
      </c>
      <c r="M79" s="171">
        <v>0</v>
      </c>
      <c r="N79" s="171"/>
      <c r="O79" s="171"/>
      <c r="P79" s="179">
        <f ca="1">IF(NFI_Expiration=1,IF($A79&lt;VLOOKUP(H$5,NFI,5,0),1,0)*Table_NFI[[#This Row],[Hygiene Kit]],Table_NFI[[#This Row],[Hygiene Kit]])</f>
        <v>0</v>
      </c>
      <c r="Q79" s="179">
        <f ca="1">IF(NFI_Expiration=1,IF($A79&lt;VLOOKUP(I$5,NFI,5,0),1,0)*Table_NFI[[#This Row],[NFI Core Kit]],Table_NFI[[#This Row],[NFI Core Kit]])</f>
        <v>0</v>
      </c>
      <c r="R79" s="179">
        <f ca="1">IF(NFI_Expiration=1,IF($A79&lt;VLOOKUP(J$5,NFI,5,0),1,0)*Table_NFI[[#This Row],[Sanitary Kit]],Table_NFI[[#This Row],[Sanitary Kit]])</f>
        <v>0</v>
      </c>
      <c r="S79" s="179">
        <f ca="1">IF(NFI_Expiration=1,IF($A79&lt;VLOOKUP(K$5,NFI,5,0),1,0)*Table_NFI[[#This Row],[Mosquitoe net]],Table_NFI[[#This Row],[Mosquitoe net]])</f>
        <v>0</v>
      </c>
      <c r="T79" s="179">
        <f ca="1">IF(NFI_Expiration=1,IF($A79&lt;VLOOKUP(L$5,NFI,5,0),1,0)*Table_NFI[[#This Row],[Tarpaulin]],Table_NFI[[#This Row],[Tarpaulin]])</f>
        <v>0</v>
      </c>
      <c r="U79" s="179">
        <f ca="1">IF(NFI_Expiration=1,IF($A79&lt;VLOOKUP(M$5,NFI,5,0),1,0)*Table_NFI[[#This Row],[Blanket]],Table_NFI[[#This Row],[Blanket]])</f>
        <v>0</v>
      </c>
      <c r="V79" s="179">
        <f ca="1">IF(NFI_Expiration=1,IF($A79&lt;VLOOKUP(N$5,NFI,5,0),1,0)*Table_NFI[[#This Row],[Kitchen Set]],Table_NFI[[#This Row],[Kitchen Set]])</f>
        <v>0</v>
      </c>
      <c r="W79" s="179">
        <f ca="1">IF(NFI_Expiration=1,IF($A79&lt;VLOOKUP(O$5,NFI,5,0),1,0)*Table_NFI[[#This Row],[Complementary Kit]],Table_NFI[[#This Row],[Complementary Kit]])</f>
        <v>0</v>
      </c>
    </row>
    <row r="80" spans="1:23" ht="15">
      <c r="A80" s="125">
        <f ca="1" t="shared" si="2"/>
        <v>13.833333333333334</v>
      </c>
      <c r="B80" s="115">
        <v>41267</v>
      </c>
      <c r="C80" s="91" t="s">
        <v>960</v>
      </c>
      <c r="D80" s="91"/>
      <c r="E80" s="91" t="s">
        <v>434</v>
      </c>
      <c r="F80" s="1" t="s">
        <v>455</v>
      </c>
      <c r="G80" s="91" t="s">
        <v>483</v>
      </c>
      <c r="H80" s="91"/>
      <c r="I80" s="171"/>
      <c r="J80" s="171"/>
      <c r="K80" s="171"/>
      <c r="L80" s="172">
        <v>758</v>
      </c>
      <c r="M80" s="171"/>
      <c r="N80" s="171"/>
      <c r="O80" s="171"/>
      <c r="P80" s="179">
        <f ca="1">IF(NFI_Expiration=1,IF($A80&lt;VLOOKUP(H$5,NFI,5,0),1,0)*Table_NFI[[#This Row],[Hygiene Kit]],Table_NFI[[#This Row],[Hygiene Kit]])</f>
        <v>0</v>
      </c>
      <c r="Q80" s="179">
        <f ca="1">IF(NFI_Expiration=1,IF($A80&lt;VLOOKUP(I$5,NFI,5,0),1,0)*Table_NFI[[#This Row],[NFI Core Kit]],Table_NFI[[#This Row],[NFI Core Kit]])</f>
        <v>0</v>
      </c>
      <c r="R80" s="179">
        <f ca="1">IF(NFI_Expiration=1,IF($A80&lt;VLOOKUP(J$5,NFI,5,0),1,0)*Table_NFI[[#This Row],[Sanitary Kit]],Table_NFI[[#This Row],[Sanitary Kit]])</f>
        <v>0</v>
      </c>
      <c r="S80" s="179">
        <f ca="1">IF(NFI_Expiration=1,IF($A80&lt;VLOOKUP(K$5,NFI,5,0),1,0)*Table_NFI[[#This Row],[Mosquitoe net]],Table_NFI[[#This Row],[Mosquitoe net]])</f>
        <v>0</v>
      </c>
      <c r="T80" s="179">
        <f ca="1">IF(NFI_Expiration=1,IF($A80&lt;VLOOKUP(L$5,NFI,5,0),1,0)*Table_NFI[[#This Row],[Tarpaulin]],Table_NFI[[#This Row],[Tarpaulin]])</f>
        <v>0</v>
      </c>
      <c r="U80" s="179">
        <f ca="1">IF(NFI_Expiration=1,IF($A80&lt;VLOOKUP(M$5,NFI,5,0),1,0)*Table_NFI[[#This Row],[Blanket]],Table_NFI[[#This Row],[Blanket]])</f>
        <v>0</v>
      </c>
      <c r="V80" s="179">
        <f ca="1">IF(NFI_Expiration=1,IF($A80&lt;VLOOKUP(N$5,NFI,5,0),1,0)*Table_NFI[[#This Row],[Kitchen Set]],Table_NFI[[#This Row],[Kitchen Set]])</f>
        <v>0</v>
      </c>
      <c r="W80" s="179">
        <f ca="1">IF(NFI_Expiration=1,IF($A80&lt;VLOOKUP(O$5,NFI,5,0),1,0)*Table_NFI[[#This Row],[Complementary Kit]],Table_NFI[[#This Row],[Complementary Kit]])</f>
        <v>0</v>
      </c>
    </row>
    <row r="81" spans="1:23" ht="15">
      <c r="A81" s="125">
        <f ca="1" t="shared" si="2"/>
        <v>13.833333333333334</v>
      </c>
      <c r="B81" s="115">
        <v>41267</v>
      </c>
      <c r="C81" s="91" t="s">
        <v>960</v>
      </c>
      <c r="D81" s="91"/>
      <c r="E81" s="91" t="s">
        <v>434</v>
      </c>
      <c r="F81" s="1" t="s">
        <v>455</v>
      </c>
      <c r="G81" s="91" t="s">
        <v>484</v>
      </c>
      <c r="H81" s="91"/>
      <c r="I81" s="171"/>
      <c r="J81" s="171"/>
      <c r="K81" s="171"/>
      <c r="L81" s="172">
        <v>1306</v>
      </c>
      <c r="M81" s="171"/>
      <c r="N81" s="171"/>
      <c r="O81" s="171"/>
      <c r="P81" s="179">
        <f ca="1">IF(NFI_Expiration=1,IF($A81&lt;VLOOKUP(H$5,NFI,5,0),1,0)*Table_NFI[[#This Row],[Hygiene Kit]],Table_NFI[[#This Row],[Hygiene Kit]])</f>
        <v>0</v>
      </c>
      <c r="Q81" s="179">
        <f ca="1">IF(NFI_Expiration=1,IF($A81&lt;VLOOKUP(I$5,NFI,5,0),1,0)*Table_NFI[[#This Row],[NFI Core Kit]],Table_NFI[[#This Row],[NFI Core Kit]])</f>
        <v>0</v>
      </c>
      <c r="R81" s="179">
        <f ca="1">IF(NFI_Expiration=1,IF($A81&lt;VLOOKUP(J$5,NFI,5,0),1,0)*Table_NFI[[#This Row],[Sanitary Kit]],Table_NFI[[#This Row],[Sanitary Kit]])</f>
        <v>0</v>
      </c>
      <c r="S81" s="179">
        <f ca="1">IF(NFI_Expiration=1,IF($A81&lt;VLOOKUP(K$5,NFI,5,0),1,0)*Table_NFI[[#This Row],[Mosquitoe net]],Table_NFI[[#This Row],[Mosquitoe net]])</f>
        <v>0</v>
      </c>
      <c r="T81" s="179">
        <f ca="1">IF(NFI_Expiration=1,IF($A81&lt;VLOOKUP(L$5,NFI,5,0),1,0)*Table_NFI[[#This Row],[Tarpaulin]],Table_NFI[[#This Row],[Tarpaulin]])</f>
        <v>0</v>
      </c>
      <c r="U81" s="179">
        <f ca="1">IF(NFI_Expiration=1,IF($A81&lt;VLOOKUP(M$5,NFI,5,0),1,0)*Table_NFI[[#This Row],[Blanket]],Table_NFI[[#This Row],[Blanket]])</f>
        <v>0</v>
      </c>
      <c r="V81" s="179">
        <f ca="1">IF(NFI_Expiration=1,IF($A81&lt;VLOOKUP(N$5,NFI,5,0),1,0)*Table_NFI[[#This Row],[Kitchen Set]],Table_NFI[[#This Row],[Kitchen Set]])</f>
        <v>0</v>
      </c>
      <c r="W81" s="179">
        <f ca="1">IF(NFI_Expiration=1,IF($A81&lt;VLOOKUP(O$5,NFI,5,0),1,0)*Table_NFI[[#This Row],[Complementary Kit]],Table_NFI[[#This Row],[Complementary Kit]])</f>
        <v>0</v>
      </c>
    </row>
    <row r="82" spans="1:23" ht="15">
      <c r="A82" s="125">
        <f ca="1" t="shared" si="2"/>
        <v>13.833333333333334</v>
      </c>
      <c r="B82" s="115">
        <v>41267</v>
      </c>
      <c r="C82" s="91" t="s">
        <v>960</v>
      </c>
      <c r="D82" s="91"/>
      <c r="E82" s="91" t="s">
        <v>434</v>
      </c>
      <c r="F82" s="1" t="s">
        <v>455</v>
      </c>
      <c r="G82" s="91" t="s">
        <v>486</v>
      </c>
      <c r="H82" s="91"/>
      <c r="I82" s="171"/>
      <c r="J82" s="171"/>
      <c r="K82" s="171"/>
      <c r="L82" s="172">
        <v>796</v>
      </c>
      <c r="M82" s="171"/>
      <c r="N82" s="171"/>
      <c r="O82" s="171"/>
      <c r="P82" s="179">
        <f ca="1">IF(NFI_Expiration=1,IF($A82&lt;VLOOKUP(H$5,NFI,5,0),1,0)*Table_NFI[[#This Row],[Hygiene Kit]],Table_NFI[[#This Row],[Hygiene Kit]])</f>
        <v>0</v>
      </c>
      <c r="Q82" s="179">
        <f ca="1">IF(NFI_Expiration=1,IF($A82&lt;VLOOKUP(I$5,NFI,5,0),1,0)*Table_NFI[[#This Row],[NFI Core Kit]],Table_NFI[[#This Row],[NFI Core Kit]])</f>
        <v>0</v>
      </c>
      <c r="R82" s="179">
        <f ca="1">IF(NFI_Expiration=1,IF($A82&lt;VLOOKUP(J$5,NFI,5,0),1,0)*Table_NFI[[#This Row],[Sanitary Kit]],Table_NFI[[#This Row],[Sanitary Kit]])</f>
        <v>0</v>
      </c>
      <c r="S82" s="179">
        <f ca="1">IF(NFI_Expiration=1,IF($A82&lt;VLOOKUP(K$5,NFI,5,0),1,0)*Table_NFI[[#This Row],[Mosquitoe net]],Table_NFI[[#This Row],[Mosquitoe net]])</f>
        <v>0</v>
      </c>
      <c r="T82" s="179">
        <f ca="1">IF(NFI_Expiration=1,IF($A82&lt;VLOOKUP(L$5,NFI,5,0),1,0)*Table_NFI[[#This Row],[Tarpaulin]],Table_NFI[[#This Row],[Tarpaulin]])</f>
        <v>0</v>
      </c>
      <c r="U82" s="179">
        <f ca="1">IF(NFI_Expiration=1,IF($A82&lt;VLOOKUP(M$5,NFI,5,0),1,0)*Table_NFI[[#This Row],[Blanket]],Table_NFI[[#This Row],[Blanket]])</f>
        <v>0</v>
      </c>
      <c r="V82" s="179">
        <f ca="1">IF(NFI_Expiration=1,IF($A82&lt;VLOOKUP(N$5,NFI,5,0),1,0)*Table_NFI[[#This Row],[Kitchen Set]],Table_NFI[[#This Row],[Kitchen Set]])</f>
        <v>0</v>
      </c>
      <c r="W82" s="179">
        <f ca="1">IF(NFI_Expiration=1,IF($A82&lt;VLOOKUP(O$5,NFI,5,0),1,0)*Table_NFI[[#This Row],[Complementary Kit]],Table_NFI[[#This Row],[Complementary Kit]])</f>
        <v>0</v>
      </c>
    </row>
    <row r="83" spans="1:23" ht="15">
      <c r="A83" s="125">
        <f ca="1" t="shared" si="2"/>
        <v>13.866666666666667</v>
      </c>
      <c r="B83" s="115">
        <v>41266</v>
      </c>
      <c r="C83" s="117" t="s">
        <v>960</v>
      </c>
      <c r="D83" s="91"/>
      <c r="E83" s="122" t="s">
        <v>434</v>
      </c>
      <c r="F83" s="1" t="s">
        <v>461</v>
      </c>
      <c r="G83" s="91"/>
      <c r="H83" s="91"/>
      <c r="I83" s="171"/>
      <c r="J83" s="171">
        <v>3000</v>
      </c>
      <c r="K83" s="171"/>
      <c r="L83" s="171"/>
      <c r="M83" s="171"/>
      <c r="N83" s="171"/>
      <c r="O83" s="171"/>
      <c r="P83" s="179">
        <f ca="1">IF(NFI_Expiration=1,IF($A83&lt;VLOOKUP(H$5,NFI,5,0),1,0)*Table_NFI[[#This Row],[Hygiene Kit]],Table_NFI[[#This Row],[Hygiene Kit]])</f>
        <v>0</v>
      </c>
      <c r="Q83" s="179">
        <f ca="1">IF(NFI_Expiration=1,IF($A83&lt;VLOOKUP(I$5,NFI,5,0),1,0)*Table_NFI[[#This Row],[NFI Core Kit]],Table_NFI[[#This Row],[NFI Core Kit]])</f>
        <v>0</v>
      </c>
      <c r="R83" s="179">
        <f ca="1">IF(NFI_Expiration=1,IF($A83&lt;VLOOKUP(J$5,NFI,5,0),1,0)*Table_NFI[[#This Row],[Sanitary Kit]],Table_NFI[[#This Row],[Sanitary Kit]])</f>
        <v>0</v>
      </c>
      <c r="S83" s="179">
        <f ca="1">IF(NFI_Expiration=1,IF($A83&lt;VLOOKUP(K$5,NFI,5,0),1,0)*Table_NFI[[#This Row],[Mosquitoe net]],Table_NFI[[#This Row],[Mosquitoe net]])</f>
        <v>0</v>
      </c>
      <c r="T83" s="179">
        <f ca="1">IF(NFI_Expiration=1,IF($A83&lt;VLOOKUP(L$5,NFI,5,0),1,0)*Table_NFI[[#This Row],[Tarpaulin]],Table_NFI[[#This Row],[Tarpaulin]])</f>
        <v>0</v>
      </c>
      <c r="U83" s="179">
        <f ca="1">IF(NFI_Expiration=1,IF($A83&lt;VLOOKUP(M$5,NFI,5,0),1,0)*Table_NFI[[#This Row],[Blanket]],Table_NFI[[#This Row],[Blanket]])</f>
        <v>0</v>
      </c>
      <c r="V83" s="179">
        <f ca="1">IF(NFI_Expiration=1,IF($A83&lt;VLOOKUP(N$5,NFI,5,0),1,0)*Table_NFI[[#This Row],[Kitchen Set]],Table_NFI[[#This Row],[Kitchen Set]])</f>
        <v>0</v>
      </c>
      <c r="W83" s="179">
        <f ca="1">IF(NFI_Expiration=1,IF($A83&lt;VLOOKUP(O$5,NFI,5,0),1,0)*Table_NFI[[#This Row],[Complementary Kit]],Table_NFI[[#This Row],[Complementary Kit]])</f>
        <v>0</v>
      </c>
    </row>
    <row r="84" spans="1:23" ht="15">
      <c r="A84" s="125">
        <f ca="1" t="shared" si="2"/>
        <v>13.866666666666667</v>
      </c>
      <c r="B84" s="115">
        <v>41266</v>
      </c>
      <c r="C84" s="91" t="s">
        <v>960</v>
      </c>
      <c r="D84" s="91"/>
      <c r="E84" s="91" t="s">
        <v>434</v>
      </c>
      <c r="F84" s="1" t="s">
        <v>461</v>
      </c>
      <c r="G84" s="91"/>
      <c r="H84" s="91"/>
      <c r="I84" s="171"/>
      <c r="J84" s="171"/>
      <c r="K84" s="171"/>
      <c r="L84" s="172">
        <v>1180</v>
      </c>
      <c r="M84" s="171"/>
      <c r="N84" s="171"/>
      <c r="O84" s="171"/>
      <c r="P84" s="179">
        <f ca="1">IF(NFI_Expiration=1,IF($A84&lt;VLOOKUP(H$5,NFI,5,0),1,0)*Table_NFI[[#This Row],[Hygiene Kit]],Table_NFI[[#This Row],[Hygiene Kit]])</f>
        <v>0</v>
      </c>
      <c r="Q84" s="179">
        <f ca="1">IF(NFI_Expiration=1,IF($A84&lt;VLOOKUP(I$5,NFI,5,0),1,0)*Table_NFI[[#This Row],[NFI Core Kit]],Table_NFI[[#This Row],[NFI Core Kit]])</f>
        <v>0</v>
      </c>
      <c r="R84" s="179">
        <f ca="1">IF(NFI_Expiration=1,IF($A84&lt;VLOOKUP(J$5,NFI,5,0),1,0)*Table_NFI[[#This Row],[Sanitary Kit]],Table_NFI[[#This Row],[Sanitary Kit]])</f>
        <v>0</v>
      </c>
      <c r="S84" s="179">
        <f ca="1">IF(NFI_Expiration=1,IF($A84&lt;VLOOKUP(K$5,NFI,5,0),1,0)*Table_NFI[[#This Row],[Mosquitoe net]],Table_NFI[[#This Row],[Mosquitoe net]])</f>
        <v>0</v>
      </c>
      <c r="T84" s="179">
        <f ca="1">IF(NFI_Expiration=1,IF($A84&lt;VLOOKUP(L$5,NFI,5,0),1,0)*Table_NFI[[#This Row],[Tarpaulin]],Table_NFI[[#This Row],[Tarpaulin]])</f>
        <v>0</v>
      </c>
      <c r="U84" s="179">
        <f ca="1">IF(NFI_Expiration=1,IF($A84&lt;VLOOKUP(M$5,NFI,5,0),1,0)*Table_NFI[[#This Row],[Blanket]],Table_NFI[[#This Row],[Blanket]])</f>
        <v>0</v>
      </c>
      <c r="V84" s="179">
        <f ca="1">IF(NFI_Expiration=1,IF($A84&lt;VLOOKUP(N$5,NFI,5,0),1,0)*Table_NFI[[#This Row],[Kitchen Set]],Table_NFI[[#This Row],[Kitchen Set]])</f>
        <v>0</v>
      </c>
      <c r="W84" s="179">
        <f ca="1">IF(NFI_Expiration=1,IF($A84&lt;VLOOKUP(O$5,NFI,5,0),1,0)*Table_NFI[[#This Row],[Complementary Kit]],Table_NFI[[#This Row],[Complementary Kit]])</f>
        <v>0</v>
      </c>
    </row>
    <row r="85" spans="1:23" ht="15">
      <c r="A85" s="125">
        <f ca="1" t="shared" si="2"/>
        <v>14.033333333333333</v>
      </c>
      <c r="B85" s="115">
        <v>41261</v>
      </c>
      <c r="C85" s="91" t="s">
        <v>960</v>
      </c>
      <c r="D85" s="91"/>
      <c r="E85" s="91" t="s">
        <v>434</v>
      </c>
      <c r="F85" s="1" t="s">
        <v>456</v>
      </c>
      <c r="G85" s="91" t="s">
        <v>489</v>
      </c>
      <c r="H85" s="91"/>
      <c r="I85" s="171"/>
      <c r="J85" s="171"/>
      <c r="K85" s="171"/>
      <c r="L85" s="172">
        <v>23</v>
      </c>
      <c r="M85" s="171"/>
      <c r="N85" s="171"/>
      <c r="O85" s="171"/>
      <c r="P85" s="179">
        <f ca="1">IF(NFI_Expiration=1,IF($A85&lt;VLOOKUP(H$5,NFI,5,0),1,0)*Table_NFI[[#This Row],[Hygiene Kit]],Table_NFI[[#This Row],[Hygiene Kit]])</f>
        <v>0</v>
      </c>
      <c r="Q85" s="179">
        <f ca="1">IF(NFI_Expiration=1,IF($A85&lt;VLOOKUP(I$5,NFI,5,0),1,0)*Table_NFI[[#This Row],[NFI Core Kit]],Table_NFI[[#This Row],[NFI Core Kit]])</f>
        <v>0</v>
      </c>
      <c r="R85" s="179">
        <f ca="1">IF(NFI_Expiration=1,IF($A85&lt;VLOOKUP(J$5,NFI,5,0),1,0)*Table_NFI[[#This Row],[Sanitary Kit]],Table_NFI[[#This Row],[Sanitary Kit]])</f>
        <v>0</v>
      </c>
      <c r="S85" s="179">
        <f ca="1">IF(NFI_Expiration=1,IF($A85&lt;VLOOKUP(K$5,NFI,5,0),1,0)*Table_NFI[[#This Row],[Mosquitoe net]],Table_NFI[[#This Row],[Mosquitoe net]])</f>
        <v>0</v>
      </c>
      <c r="T85" s="179">
        <f ca="1">IF(NFI_Expiration=1,IF($A85&lt;VLOOKUP(L$5,NFI,5,0),1,0)*Table_NFI[[#This Row],[Tarpaulin]],Table_NFI[[#This Row],[Tarpaulin]])</f>
        <v>0</v>
      </c>
      <c r="U85" s="179">
        <f ca="1">IF(NFI_Expiration=1,IF($A85&lt;VLOOKUP(M$5,NFI,5,0),1,0)*Table_NFI[[#This Row],[Blanket]],Table_NFI[[#This Row],[Blanket]])</f>
        <v>0</v>
      </c>
      <c r="V85" s="179">
        <f ca="1">IF(NFI_Expiration=1,IF($A85&lt;VLOOKUP(N$5,NFI,5,0),1,0)*Table_NFI[[#This Row],[Kitchen Set]],Table_NFI[[#This Row],[Kitchen Set]])</f>
        <v>0</v>
      </c>
      <c r="W85" s="179">
        <f ca="1">IF(NFI_Expiration=1,IF($A85&lt;VLOOKUP(O$5,NFI,5,0),1,0)*Table_NFI[[#This Row],[Complementary Kit]],Table_NFI[[#This Row],[Complementary Kit]])</f>
        <v>0</v>
      </c>
    </row>
    <row r="86" spans="1:23" ht="15">
      <c r="A86" s="125">
        <f ca="1" t="shared" si="2"/>
        <v>14.033333333333333</v>
      </c>
      <c r="B86" s="115">
        <v>41261</v>
      </c>
      <c r="C86" s="91" t="s">
        <v>960</v>
      </c>
      <c r="D86" s="91"/>
      <c r="E86" s="91" t="s">
        <v>434</v>
      </c>
      <c r="F86" s="1" t="s">
        <v>456</v>
      </c>
      <c r="G86" s="91" t="s">
        <v>490</v>
      </c>
      <c r="H86" s="91"/>
      <c r="I86" s="171"/>
      <c r="J86" s="171"/>
      <c r="K86" s="171"/>
      <c r="L86" s="172">
        <v>80</v>
      </c>
      <c r="M86" s="171"/>
      <c r="N86" s="171"/>
      <c r="O86" s="171"/>
      <c r="P86" s="179">
        <f ca="1">IF(NFI_Expiration=1,IF($A86&lt;VLOOKUP(H$5,NFI,5,0),1,0)*Table_NFI[[#This Row],[Hygiene Kit]],Table_NFI[[#This Row],[Hygiene Kit]])</f>
        <v>0</v>
      </c>
      <c r="Q86" s="179">
        <f ca="1">IF(NFI_Expiration=1,IF($A86&lt;VLOOKUP(I$5,NFI,5,0),1,0)*Table_NFI[[#This Row],[NFI Core Kit]],Table_NFI[[#This Row],[NFI Core Kit]])</f>
        <v>0</v>
      </c>
      <c r="R86" s="179">
        <f ca="1">IF(NFI_Expiration=1,IF($A86&lt;VLOOKUP(J$5,NFI,5,0),1,0)*Table_NFI[[#This Row],[Sanitary Kit]],Table_NFI[[#This Row],[Sanitary Kit]])</f>
        <v>0</v>
      </c>
      <c r="S86" s="179">
        <f ca="1">IF(NFI_Expiration=1,IF($A86&lt;VLOOKUP(K$5,NFI,5,0),1,0)*Table_NFI[[#This Row],[Mosquitoe net]],Table_NFI[[#This Row],[Mosquitoe net]])</f>
        <v>0</v>
      </c>
      <c r="T86" s="179">
        <f ca="1">IF(NFI_Expiration=1,IF($A86&lt;VLOOKUP(L$5,NFI,5,0),1,0)*Table_NFI[[#This Row],[Tarpaulin]],Table_NFI[[#This Row],[Tarpaulin]])</f>
        <v>0</v>
      </c>
      <c r="U86" s="179">
        <f ca="1">IF(NFI_Expiration=1,IF($A86&lt;VLOOKUP(M$5,NFI,5,0),1,0)*Table_NFI[[#This Row],[Blanket]],Table_NFI[[#This Row],[Blanket]])</f>
        <v>0</v>
      </c>
      <c r="V86" s="179">
        <f ca="1">IF(NFI_Expiration=1,IF($A86&lt;VLOOKUP(N$5,NFI,5,0),1,0)*Table_NFI[[#This Row],[Kitchen Set]],Table_NFI[[#This Row],[Kitchen Set]])</f>
        <v>0</v>
      </c>
      <c r="W86" s="179">
        <f ca="1">IF(NFI_Expiration=1,IF($A86&lt;VLOOKUP(O$5,NFI,5,0),1,0)*Table_NFI[[#This Row],[Complementary Kit]],Table_NFI[[#This Row],[Complementary Kit]])</f>
        <v>0</v>
      </c>
    </row>
    <row r="87" spans="1:23" ht="15">
      <c r="A87" s="125">
        <f ca="1" t="shared" si="2"/>
        <v>14.066666666666666</v>
      </c>
      <c r="B87" s="115">
        <v>41260</v>
      </c>
      <c r="C87" s="91" t="s">
        <v>960</v>
      </c>
      <c r="D87" s="91"/>
      <c r="E87" s="91" t="s">
        <v>434</v>
      </c>
      <c r="F87" s="1" t="s">
        <v>452</v>
      </c>
      <c r="G87" s="91" t="s">
        <v>474</v>
      </c>
      <c r="H87" s="91"/>
      <c r="I87" s="171"/>
      <c r="J87" s="171"/>
      <c r="K87" s="171"/>
      <c r="L87" s="172">
        <v>33</v>
      </c>
      <c r="M87" s="171"/>
      <c r="N87" s="171"/>
      <c r="O87" s="171"/>
      <c r="P87" s="179">
        <f ca="1">IF(NFI_Expiration=1,IF($A87&lt;VLOOKUP(H$5,NFI,5,0),1,0)*Table_NFI[[#This Row],[Hygiene Kit]],Table_NFI[[#This Row],[Hygiene Kit]])</f>
        <v>0</v>
      </c>
      <c r="Q87" s="179">
        <f ca="1">IF(NFI_Expiration=1,IF($A87&lt;VLOOKUP(I$5,NFI,5,0),1,0)*Table_NFI[[#This Row],[NFI Core Kit]],Table_NFI[[#This Row],[NFI Core Kit]])</f>
        <v>0</v>
      </c>
      <c r="R87" s="179">
        <f ca="1">IF(NFI_Expiration=1,IF($A87&lt;VLOOKUP(J$5,NFI,5,0),1,0)*Table_NFI[[#This Row],[Sanitary Kit]],Table_NFI[[#This Row],[Sanitary Kit]])</f>
        <v>0</v>
      </c>
      <c r="S87" s="179">
        <f ca="1">IF(NFI_Expiration=1,IF($A87&lt;VLOOKUP(K$5,NFI,5,0),1,0)*Table_NFI[[#This Row],[Mosquitoe net]],Table_NFI[[#This Row],[Mosquitoe net]])</f>
        <v>0</v>
      </c>
      <c r="T87" s="179">
        <f ca="1">IF(NFI_Expiration=1,IF($A87&lt;VLOOKUP(L$5,NFI,5,0),1,0)*Table_NFI[[#This Row],[Tarpaulin]],Table_NFI[[#This Row],[Tarpaulin]])</f>
        <v>0</v>
      </c>
      <c r="U87" s="179">
        <f ca="1">IF(NFI_Expiration=1,IF($A87&lt;VLOOKUP(M$5,NFI,5,0),1,0)*Table_NFI[[#This Row],[Blanket]],Table_NFI[[#This Row],[Blanket]])</f>
        <v>0</v>
      </c>
      <c r="V87" s="179">
        <f ca="1">IF(NFI_Expiration=1,IF($A87&lt;VLOOKUP(N$5,NFI,5,0),1,0)*Table_NFI[[#This Row],[Kitchen Set]],Table_NFI[[#This Row],[Kitchen Set]])</f>
        <v>0</v>
      </c>
      <c r="W87" s="179">
        <f ca="1">IF(NFI_Expiration=1,IF($A87&lt;VLOOKUP(O$5,NFI,5,0),1,0)*Table_NFI[[#This Row],[Complementary Kit]],Table_NFI[[#This Row],[Complementary Kit]])</f>
        <v>0</v>
      </c>
    </row>
    <row r="88" spans="1:23" ht="15">
      <c r="A88" s="125">
        <f ca="1" t="shared" si="2"/>
        <v>14.066666666666666</v>
      </c>
      <c r="B88" s="115">
        <v>41260</v>
      </c>
      <c r="C88" s="91" t="s">
        <v>960</v>
      </c>
      <c r="D88" s="91"/>
      <c r="E88" s="91" t="s">
        <v>434</v>
      </c>
      <c r="F88" s="1" t="s">
        <v>454</v>
      </c>
      <c r="G88" s="91" t="s">
        <v>481</v>
      </c>
      <c r="H88" s="91"/>
      <c r="I88" s="171"/>
      <c r="J88" s="171"/>
      <c r="K88" s="171"/>
      <c r="L88" s="172">
        <v>73</v>
      </c>
      <c r="M88" s="171"/>
      <c r="N88" s="171"/>
      <c r="O88" s="171"/>
      <c r="P88" s="179">
        <f ca="1">IF(NFI_Expiration=1,IF($A88&lt;VLOOKUP(H$5,NFI,5,0),1,0)*Table_NFI[[#This Row],[Hygiene Kit]],Table_NFI[[#This Row],[Hygiene Kit]])</f>
        <v>0</v>
      </c>
      <c r="Q88" s="179">
        <f ca="1">IF(NFI_Expiration=1,IF($A88&lt;VLOOKUP(I$5,NFI,5,0),1,0)*Table_NFI[[#This Row],[NFI Core Kit]],Table_NFI[[#This Row],[NFI Core Kit]])</f>
        <v>0</v>
      </c>
      <c r="R88" s="179">
        <f ca="1">IF(NFI_Expiration=1,IF($A88&lt;VLOOKUP(J$5,NFI,5,0),1,0)*Table_NFI[[#This Row],[Sanitary Kit]],Table_NFI[[#This Row],[Sanitary Kit]])</f>
        <v>0</v>
      </c>
      <c r="S88" s="179">
        <f ca="1">IF(NFI_Expiration=1,IF($A88&lt;VLOOKUP(K$5,NFI,5,0),1,0)*Table_NFI[[#This Row],[Mosquitoe net]],Table_NFI[[#This Row],[Mosquitoe net]])</f>
        <v>0</v>
      </c>
      <c r="T88" s="179">
        <f ca="1">IF(NFI_Expiration=1,IF($A88&lt;VLOOKUP(L$5,NFI,5,0),1,0)*Table_NFI[[#This Row],[Tarpaulin]],Table_NFI[[#This Row],[Tarpaulin]])</f>
        <v>0</v>
      </c>
      <c r="U88" s="179">
        <f ca="1">IF(NFI_Expiration=1,IF($A88&lt;VLOOKUP(M$5,NFI,5,0),1,0)*Table_NFI[[#This Row],[Blanket]],Table_NFI[[#This Row],[Blanket]])</f>
        <v>0</v>
      </c>
      <c r="V88" s="179">
        <f ca="1">IF(NFI_Expiration=1,IF($A88&lt;VLOOKUP(N$5,NFI,5,0),1,0)*Table_NFI[[#This Row],[Kitchen Set]],Table_NFI[[#This Row],[Kitchen Set]])</f>
        <v>0</v>
      </c>
      <c r="W88" s="179">
        <f ca="1">IF(NFI_Expiration=1,IF($A88&lt;VLOOKUP(O$5,NFI,5,0),1,0)*Table_NFI[[#This Row],[Complementary Kit]],Table_NFI[[#This Row],[Complementary Kit]])</f>
        <v>0</v>
      </c>
    </row>
    <row r="89" spans="1:23" ht="15">
      <c r="A89" s="125">
        <f ca="1" t="shared" si="2"/>
        <v>14.1</v>
      </c>
      <c r="B89" s="115">
        <v>41259</v>
      </c>
      <c r="C89" s="91" t="s">
        <v>964</v>
      </c>
      <c r="D89" s="91" t="s">
        <v>960</v>
      </c>
      <c r="E89" s="91" t="s">
        <v>434</v>
      </c>
      <c r="F89" s="1" t="s">
        <v>460</v>
      </c>
      <c r="G89" s="91" t="s">
        <v>516</v>
      </c>
      <c r="H89" s="91"/>
      <c r="I89" s="171"/>
      <c r="J89" s="171"/>
      <c r="K89" s="171"/>
      <c r="L89" s="171"/>
      <c r="M89" s="171">
        <v>49</v>
      </c>
      <c r="N89" s="171"/>
      <c r="O89" s="171"/>
      <c r="P89" s="179">
        <f ca="1">IF(NFI_Expiration=1,IF($A89&lt;VLOOKUP(H$5,NFI,5,0),1,0)*Table_NFI[[#This Row],[Hygiene Kit]],Table_NFI[[#This Row],[Hygiene Kit]])</f>
        <v>0</v>
      </c>
      <c r="Q89" s="179">
        <f ca="1">IF(NFI_Expiration=1,IF($A89&lt;VLOOKUP(I$5,NFI,5,0),1,0)*Table_NFI[[#This Row],[NFI Core Kit]],Table_NFI[[#This Row],[NFI Core Kit]])</f>
        <v>0</v>
      </c>
      <c r="R89" s="179">
        <f ca="1">IF(NFI_Expiration=1,IF($A89&lt;VLOOKUP(J$5,NFI,5,0),1,0)*Table_NFI[[#This Row],[Sanitary Kit]],Table_NFI[[#This Row],[Sanitary Kit]])</f>
        <v>0</v>
      </c>
      <c r="S89" s="179">
        <f ca="1">IF(NFI_Expiration=1,IF($A89&lt;VLOOKUP(K$5,NFI,5,0),1,0)*Table_NFI[[#This Row],[Mosquitoe net]],Table_NFI[[#This Row],[Mosquitoe net]])</f>
        <v>0</v>
      </c>
      <c r="T89" s="179">
        <f ca="1">IF(NFI_Expiration=1,IF($A89&lt;VLOOKUP(L$5,NFI,5,0),1,0)*Table_NFI[[#This Row],[Tarpaulin]],Table_NFI[[#This Row],[Tarpaulin]])</f>
        <v>0</v>
      </c>
      <c r="U89" s="179">
        <f ca="1">IF(NFI_Expiration=1,IF($A89&lt;VLOOKUP(M$5,NFI,5,0),1,0)*Table_NFI[[#This Row],[Blanket]],Table_NFI[[#This Row],[Blanket]])</f>
        <v>0</v>
      </c>
      <c r="V89" s="179">
        <f ca="1">IF(NFI_Expiration=1,IF($A89&lt;VLOOKUP(N$5,NFI,5,0),1,0)*Table_NFI[[#This Row],[Kitchen Set]],Table_NFI[[#This Row],[Kitchen Set]])</f>
        <v>0</v>
      </c>
      <c r="W89" s="179">
        <f ca="1">IF(NFI_Expiration=1,IF($A89&lt;VLOOKUP(O$5,NFI,5,0),1,0)*Table_NFI[[#This Row],[Complementary Kit]],Table_NFI[[#This Row],[Complementary Kit]])</f>
        <v>0</v>
      </c>
    </row>
    <row r="90" spans="1:23" ht="15">
      <c r="A90" s="125">
        <f ca="1" t="shared" si="2"/>
        <v>14.1</v>
      </c>
      <c r="B90" s="115">
        <v>41259</v>
      </c>
      <c r="C90" s="91" t="s">
        <v>964</v>
      </c>
      <c r="D90" s="91" t="s">
        <v>960</v>
      </c>
      <c r="E90" s="91" t="s">
        <v>434</v>
      </c>
      <c r="F90" s="1" t="s">
        <v>460</v>
      </c>
      <c r="G90" s="91" t="s">
        <v>516</v>
      </c>
      <c r="H90" s="91"/>
      <c r="I90" s="171"/>
      <c r="J90" s="171"/>
      <c r="K90" s="171"/>
      <c r="L90" s="171"/>
      <c r="M90" s="171">
        <v>11</v>
      </c>
      <c r="N90" s="171"/>
      <c r="O90" s="171"/>
      <c r="P90" s="179">
        <f ca="1">IF(NFI_Expiration=1,IF($A90&lt;VLOOKUP(H$5,NFI,5,0),1,0)*Table_NFI[[#This Row],[Hygiene Kit]],Table_NFI[[#This Row],[Hygiene Kit]])</f>
        <v>0</v>
      </c>
      <c r="Q90" s="179">
        <f ca="1">IF(NFI_Expiration=1,IF($A90&lt;VLOOKUP(I$5,NFI,5,0),1,0)*Table_NFI[[#This Row],[NFI Core Kit]],Table_NFI[[#This Row],[NFI Core Kit]])</f>
        <v>0</v>
      </c>
      <c r="R90" s="179">
        <f ca="1">IF(NFI_Expiration=1,IF($A90&lt;VLOOKUP(J$5,NFI,5,0),1,0)*Table_NFI[[#This Row],[Sanitary Kit]],Table_NFI[[#This Row],[Sanitary Kit]])</f>
        <v>0</v>
      </c>
      <c r="S90" s="179">
        <f ca="1">IF(NFI_Expiration=1,IF($A90&lt;VLOOKUP(K$5,NFI,5,0),1,0)*Table_NFI[[#This Row],[Mosquitoe net]],Table_NFI[[#This Row],[Mosquitoe net]])</f>
        <v>0</v>
      </c>
      <c r="T90" s="179">
        <f ca="1">IF(NFI_Expiration=1,IF($A90&lt;VLOOKUP(L$5,NFI,5,0),1,0)*Table_NFI[[#This Row],[Tarpaulin]],Table_NFI[[#This Row],[Tarpaulin]])</f>
        <v>0</v>
      </c>
      <c r="U90" s="179">
        <f ca="1">IF(NFI_Expiration=1,IF($A90&lt;VLOOKUP(M$5,NFI,5,0),1,0)*Table_NFI[[#This Row],[Blanket]],Table_NFI[[#This Row],[Blanket]])</f>
        <v>0</v>
      </c>
      <c r="V90" s="179">
        <f ca="1">IF(NFI_Expiration=1,IF($A90&lt;VLOOKUP(N$5,NFI,5,0),1,0)*Table_NFI[[#This Row],[Kitchen Set]],Table_NFI[[#This Row],[Kitchen Set]])</f>
        <v>0</v>
      </c>
      <c r="W90" s="179">
        <f ca="1">IF(NFI_Expiration=1,IF($A90&lt;VLOOKUP(O$5,NFI,5,0),1,0)*Table_NFI[[#This Row],[Complementary Kit]],Table_NFI[[#This Row],[Complementary Kit]])</f>
        <v>0</v>
      </c>
    </row>
    <row r="91" spans="1:23" ht="15">
      <c r="A91" s="125">
        <f ca="1" t="shared" si="2"/>
        <v>14.133333333333333</v>
      </c>
      <c r="B91" s="115">
        <v>41258</v>
      </c>
      <c r="C91" s="117" t="s">
        <v>960</v>
      </c>
      <c r="D91" s="91"/>
      <c r="E91" s="122" t="s">
        <v>434</v>
      </c>
      <c r="F91" s="1" t="s">
        <v>452</v>
      </c>
      <c r="G91" s="91" t="s">
        <v>470</v>
      </c>
      <c r="H91" s="91"/>
      <c r="I91" s="171"/>
      <c r="J91" s="171"/>
      <c r="K91" s="171"/>
      <c r="L91" s="171"/>
      <c r="M91" s="171">
        <v>53</v>
      </c>
      <c r="N91" s="171"/>
      <c r="O91" s="171"/>
      <c r="P91" s="179">
        <f ca="1">IF(NFI_Expiration=1,IF($A91&lt;VLOOKUP(H$5,NFI,5,0),1,0)*Table_NFI[[#This Row],[Hygiene Kit]],Table_NFI[[#This Row],[Hygiene Kit]])</f>
        <v>0</v>
      </c>
      <c r="Q91" s="179">
        <f ca="1">IF(NFI_Expiration=1,IF($A91&lt;VLOOKUP(I$5,NFI,5,0),1,0)*Table_NFI[[#This Row],[NFI Core Kit]],Table_NFI[[#This Row],[NFI Core Kit]])</f>
        <v>0</v>
      </c>
      <c r="R91" s="179">
        <f ca="1">IF(NFI_Expiration=1,IF($A91&lt;VLOOKUP(J$5,NFI,5,0),1,0)*Table_NFI[[#This Row],[Sanitary Kit]],Table_NFI[[#This Row],[Sanitary Kit]])</f>
        <v>0</v>
      </c>
      <c r="S91" s="179">
        <f ca="1">IF(NFI_Expiration=1,IF($A91&lt;VLOOKUP(K$5,NFI,5,0),1,0)*Table_NFI[[#This Row],[Mosquitoe net]],Table_NFI[[#This Row],[Mosquitoe net]])</f>
        <v>0</v>
      </c>
      <c r="T91" s="179">
        <f ca="1">IF(NFI_Expiration=1,IF($A91&lt;VLOOKUP(L$5,NFI,5,0),1,0)*Table_NFI[[#This Row],[Tarpaulin]],Table_NFI[[#This Row],[Tarpaulin]])</f>
        <v>0</v>
      </c>
      <c r="U91" s="179">
        <f ca="1">IF(NFI_Expiration=1,IF($A91&lt;VLOOKUP(M$5,NFI,5,0),1,0)*Table_NFI[[#This Row],[Blanket]],Table_NFI[[#This Row],[Blanket]])</f>
        <v>0</v>
      </c>
      <c r="V91" s="179">
        <f ca="1">IF(NFI_Expiration=1,IF($A91&lt;VLOOKUP(N$5,NFI,5,0),1,0)*Table_NFI[[#This Row],[Kitchen Set]],Table_NFI[[#This Row],[Kitchen Set]])</f>
        <v>0</v>
      </c>
      <c r="W91" s="179">
        <f ca="1">IF(NFI_Expiration=1,IF($A91&lt;VLOOKUP(O$5,NFI,5,0),1,0)*Table_NFI[[#This Row],[Complementary Kit]],Table_NFI[[#This Row],[Complementary Kit]])</f>
        <v>0</v>
      </c>
    </row>
    <row r="92" spans="1:23" ht="15">
      <c r="A92" s="125">
        <f ca="1" t="shared" si="2"/>
        <v>14.133333333333333</v>
      </c>
      <c r="B92" s="115">
        <v>41258</v>
      </c>
      <c r="C92" s="117" t="s">
        <v>960</v>
      </c>
      <c r="D92" s="91"/>
      <c r="E92" s="122" t="s">
        <v>434</v>
      </c>
      <c r="F92" s="1" t="s">
        <v>452</v>
      </c>
      <c r="G92" s="91" t="s">
        <v>471</v>
      </c>
      <c r="H92" s="91"/>
      <c r="I92" s="171"/>
      <c r="J92" s="171"/>
      <c r="K92" s="171"/>
      <c r="L92" s="171"/>
      <c r="M92" s="171">
        <v>156</v>
      </c>
      <c r="N92" s="171"/>
      <c r="O92" s="171"/>
      <c r="P92" s="179">
        <f ca="1">IF(NFI_Expiration=1,IF($A92&lt;VLOOKUP(H$5,NFI,5,0),1,0)*Table_NFI[[#This Row],[Hygiene Kit]],Table_NFI[[#This Row],[Hygiene Kit]])</f>
        <v>0</v>
      </c>
      <c r="Q92" s="179">
        <f ca="1">IF(NFI_Expiration=1,IF($A92&lt;VLOOKUP(I$5,NFI,5,0),1,0)*Table_NFI[[#This Row],[NFI Core Kit]],Table_NFI[[#This Row],[NFI Core Kit]])</f>
        <v>0</v>
      </c>
      <c r="R92" s="179">
        <f ca="1">IF(NFI_Expiration=1,IF($A92&lt;VLOOKUP(J$5,NFI,5,0),1,0)*Table_NFI[[#This Row],[Sanitary Kit]],Table_NFI[[#This Row],[Sanitary Kit]])</f>
        <v>0</v>
      </c>
      <c r="S92" s="179">
        <f ca="1">IF(NFI_Expiration=1,IF($A92&lt;VLOOKUP(K$5,NFI,5,0),1,0)*Table_NFI[[#This Row],[Mosquitoe net]],Table_NFI[[#This Row],[Mosquitoe net]])</f>
        <v>0</v>
      </c>
      <c r="T92" s="179">
        <f ca="1">IF(NFI_Expiration=1,IF($A92&lt;VLOOKUP(L$5,NFI,5,0),1,0)*Table_NFI[[#This Row],[Tarpaulin]],Table_NFI[[#This Row],[Tarpaulin]])</f>
        <v>0</v>
      </c>
      <c r="U92" s="179">
        <f ca="1">IF(NFI_Expiration=1,IF($A92&lt;VLOOKUP(M$5,NFI,5,0),1,0)*Table_NFI[[#This Row],[Blanket]],Table_NFI[[#This Row],[Blanket]])</f>
        <v>0</v>
      </c>
      <c r="V92" s="179">
        <f ca="1">IF(NFI_Expiration=1,IF($A92&lt;VLOOKUP(N$5,NFI,5,0),1,0)*Table_NFI[[#This Row],[Kitchen Set]],Table_NFI[[#This Row],[Kitchen Set]])</f>
        <v>0</v>
      </c>
      <c r="W92" s="179">
        <f ca="1">IF(NFI_Expiration=1,IF($A92&lt;VLOOKUP(O$5,NFI,5,0),1,0)*Table_NFI[[#This Row],[Complementary Kit]],Table_NFI[[#This Row],[Complementary Kit]])</f>
        <v>0</v>
      </c>
    </row>
    <row r="93" spans="1:23" ht="15">
      <c r="A93" s="125">
        <f ca="1" t="shared" si="2"/>
        <v>14.133333333333333</v>
      </c>
      <c r="B93" s="115">
        <v>41258</v>
      </c>
      <c r="C93" s="117" t="s">
        <v>960</v>
      </c>
      <c r="D93" s="91"/>
      <c r="E93" s="122" t="s">
        <v>434</v>
      </c>
      <c r="F93" s="1" t="s">
        <v>452</v>
      </c>
      <c r="G93" s="91" t="s">
        <v>472</v>
      </c>
      <c r="H93" s="91"/>
      <c r="I93" s="171"/>
      <c r="J93" s="171"/>
      <c r="K93" s="171"/>
      <c r="L93" s="171"/>
      <c r="M93" s="171">
        <v>35</v>
      </c>
      <c r="N93" s="171"/>
      <c r="O93" s="171"/>
      <c r="P93" s="179">
        <f ca="1">IF(NFI_Expiration=1,IF($A93&lt;VLOOKUP(H$5,NFI,5,0),1,0)*Table_NFI[[#This Row],[Hygiene Kit]],Table_NFI[[#This Row],[Hygiene Kit]])</f>
        <v>0</v>
      </c>
      <c r="Q93" s="179">
        <f ca="1">IF(NFI_Expiration=1,IF($A93&lt;VLOOKUP(I$5,NFI,5,0),1,0)*Table_NFI[[#This Row],[NFI Core Kit]],Table_NFI[[#This Row],[NFI Core Kit]])</f>
        <v>0</v>
      </c>
      <c r="R93" s="179">
        <f ca="1">IF(NFI_Expiration=1,IF($A93&lt;VLOOKUP(J$5,NFI,5,0),1,0)*Table_NFI[[#This Row],[Sanitary Kit]],Table_NFI[[#This Row],[Sanitary Kit]])</f>
        <v>0</v>
      </c>
      <c r="S93" s="179">
        <f ca="1">IF(NFI_Expiration=1,IF($A93&lt;VLOOKUP(K$5,NFI,5,0),1,0)*Table_NFI[[#This Row],[Mosquitoe net]],Table_NFI[[#This Row],[Mosquitoe net]])</f>
        <v>0</v>
      </c>
      <c r="T93" s="179">
        <f ca="1">IF(NFI_Expiration=1,IF($A93&lt;VLOOKUP(L$5,NFI,5,0),1,0)*Table_NFI[[#This Row],[Tarpaulin]],Table_NFI[[#This Row],[Tarpaulin]])</f>
        <v>0</v>
      </c>
      <c r="U93" s="179">
        <f ca="1">IF(NFI_Expiration=1,IF($A93&lt;VLOOKUP(M$5,NFI,5,0),1,0)*Table_NFI[[#This Row],[Blanket]],Table_NFI[[#This Row],[Blanket]])</f>
        <v>0</v>
      </c>
      <c r="V93" s="179">
        <f ca="1">IF(NFI_Expiration=1,IF($A93&lt;VLOOKUP(N$5,NFI,5,0),1,0)*Table_NFI[[#This Row],[Kitchen Set]],Table_NFI[[#This Row],[Kitchen Set]])</f>
        <v>0</v>
      </c>
      <c r="W93" s="179">
        <f ca="1">IF(NFI_Expiration=1,IF($A93&lt;VLOOKUP(O$5,NFI,5,0),1,0)*Table_NFI[[#This Row],[Complementary Kit]],Table_NFI[[#This Row],[Complementary Kit]])</f>
        <v>0</v>
      </c>
    </row>
    <row r="94" spans="1:23" ht="15">
      <c r="A94" s="125">
        <f ca="1" t="shared" si="2"/>
        <v>14.133333333333333</v>
      </c>
      <c r="B94" s="115">
        <v>41258</v>
      </c>
      <c r="C94" s="117" t="s">
        <v>960</v>
      </c>
      <c r="D94" s="91"/>
      <c r="E94" s="122" t="s">
        <v>434</v>
      </c>
      <c r="F94" s="1" t="s">
        <v>452</v>
      </c>
      <c r="G94" s="91" t="s">
        <v>473</v>
      </c>
      <c r="H94" s="91"/>
      <c r="I94" s="171"/>
      <c r="J94" s="171"/>
      <c r="K94" s="171"/>
      <c r="L94" s="171"/>
      <c r="M94" s="171">
        <v>65</v>
      </c>
      <c r="N94" s="171"/>
      <c r="O94" s="171"/>
      <c r="P94" s="179">
        <f ca="1">IF(NFI_Expiration=1,IF($A94&lt;VLOOKUP(H$5,NFI,5,0),1,0)*Table_NFI[[#This Row],[Hygiene Kit]],Table_NFI[[#This Row],[Hygiene Kit]])</f>
        <v>0</v>
      </c>
      <c r="Q94" s="179">
        <f ca="1">IF(NFI_Expiration=1,IF($A94&lt;VLOOKUP(I$5,NFI,5,0),1,0)*Table_NFI[[#This Row],[NFI Core Kit]],Table_NFI[[#This Row],[NFI Core Kit]])</f>
        <v>0</v>
      </c>
      <c r="R94" s="179">
        <f ca="1">IF(NFI_Expiration=1,IF($A94&lt;VLOOKUP(J$5,NFI,5,0),1,0)*Table_NFI[[#This Row],[Sanitary Kit]],Table_NFI[[#This Row],[Sanitary Kit]])</f>
        <v>0</v>
      </c>
      <c r="S94" s="179">
        <f ca="1">IF(NFI_Expiration=1,IF($A94&lt;VLOOKUP(K$5,NFI,5,0),1,0)*Table_NFI[[#This Row],[Mosquitoe net]],Table_NFI[[#This Row],[Mosquitoe net]])</f>
        <v>0</v>
      </c>
      <c r="T94" s="179">
        <f ca="1">IF(NFI_Expiration=1,IF($A94&lt;VLOOKUP(L$5,NFI,5,0),1,0)*Table_NFI[[#This Row],[Tarpaulin]],Table_NFI[[#This Row],[Tarpaulin]])</f>
        <v>0</v>
      </c>
      <c r="U94" s="179">
        <f ca="1">IF(NFI_Expiration=1,IF($A94&lt;VLOOKUP(M$5,NFI,5,0),1,0)*Table_NFI[[#This Row],[Blanket]],Table_NFI[[#This Row],[Blanket]])</f>
        <v>0</v>
      </c>
      <c r="V94" s="179">
        <f ca="1">IF(NFI_Expiration=1,IF($A94&lt;VLOOKUP(N$5,NFI,5,0),1,0)*Table_NFI[[#This Row],[Kitchen Set]],Table_NFI[[#This Row],[Kitchen Set]])</f>
        <v>0</v>
      </c>
      <c r="W94" s="179">
        <f ca="1">IF(NFI_Expiration=1,IF($A94&lt;VLOOKUP(O$5,NFI,5,0),1,0)*Table_NFI[[#This Row],[Complementary Kit]],Table_NFI[[#This Row],[Complementary Kit]])</f>
        <v>0</v>
      </c>
    </row>
    <row r="95" spans="1:23" ht="15">
      <c r="A95" s="125">
        <f ca="1" t="shared" si="2"/>
        <v>14.133333333333333</v>
      </c>
      <c r="B95" s="115">
        <v>41258</v>
      </c>
      <c r="C95" s="117" t="s">
        <v>960</v>
      </c>
      <c r="D95" s="91"/>
      <c r="E95" s="122" t="s">
        <v>434</v>
      </c>
      <c r="F95" s="1" t="s">
        <v>452</v>
      </c>
      <c r="G95" s="91" t="s">
        <v>475</v>
      </c>
      <c r="H95" s="91"/>
      <c r="I95" s="171"/>
      <c r="J95" s="171"/>
      <c r="K95" s="171"/>
      <c r="L95" s="171"/>
      <c r="M95" s="171">
        <v>109</v>
      </c>
      <c r="N95" s="171"/>
      <c r="O95" s="171"/>
      <c r="P95" s="179">
        <f ca="1">IF(NFI_Expiration=1,IF($A95&lt;VLOOKUP(H$5,NFI,5,0),1,0)*Table_NFI[[#This Row],[Hygiene Kit]],Table_NFI[[#This Row],[Hygiene Kit]])</f>
        <v>0</v>
      </c>
      <c r="Q95" s="179">
        <f ca="1">IF(NFI_Expiration=1,IF($A95&lt;VLOOKUP(I$5,NFI,5,0),1,0)*Table_NFI[[#This Row],[NFI Core Kit]],Table_NFI[[#This Row],[NFI Core Kit]])</f>
        <v>0</v>
      </c>
      <c r="R95" s="179">
        <f ca="1">IF(NFI_Expiration=1,IF($A95&lt;VLOOKUP(J$5,NFI,5,0),1,0)*Table_NFI[[#This Row],[Sanitary Kit]],Table_NFI[[#This Row],[Sanitary Kit]])</f>
        <v>0</v>
      </c>
      <c r="S95" s="179">
        <f ca="1">IF(NFI_Expiration=1,IF($A95&lt;VLOOKUP(K$5,NFI,5,0),1,0)*Table_NFI[[#This Row],[Mosquitoe net]],Table_NFI[[#This Row],[Mosquitoe net]])</f>
        <v>0</v>
      </c>
      <c r="T95" s="179">
        <f ca="1">IF(NFI_Expiration=1,IF($A95&lt;VLOOKUP(L$5,NFI,5,0),1,0)*Table_NFI[[#This Row],[Tarpaulin]],Table_NFI[[#This Row],[Tarpaulin]])</f>
        <v>0</v>
      </c>
      <c r="U95" s="179">
        <f ca="1">IF(NFI_Expiration=1,IF($A95&lt;VLOOKUP(M$5,NFI,5,0),1,0)*Table_NFI[[#This Row],[Blanket]],Table_NFI[[#This Row],[Blanket]])</f>
        <v>0</v>
      </c>
      <c r="V95" s="179">
        <f ca="1">IF(NFI_Expiration=1,IF($A95&lt;VLOOKUP(N$5,NFI,5,0),1,0)*Table_NFI[[#This Row],[Kitchen Set]],Table_NFI[[#This Row],[Kitchen Set]])</f>
        <v>0</v>
      </c>
      <c r="W95" s="179">
        <f ca="1">IF(NFI_Expiration=1,IF($A95&lt;VLOOKUP(O$5,NFI,5,0),1,0)*Table_NFI[[#This Row],[Complementary Kit]],Table_NFI[[#This Row],[Complementary Kit]])</f>
        <v>0</v>
      </c>
    </row>
    <row r="96" spans="1:23" ht="15">
      <c r="A96" s="125">
        <f ca="1" t="shared" si="2"/>
        <v>14.133333333333333</v>
      </c>
      <c r="B96" s="115">
        <v>41258</v>
      </c>
      <c r="C96" s="117" t="s">
        <v>960</v>
      </c>
      <c r="D96" s="91"/>
      <c r="E96" s="122" t="s">
        <v>434</v>
      </c>
      <c r="F96" s="1" t="s">
        <v>453</v>
      </c>
      <c r="G96" s="91" t="s">
        <v>476</v>
      </c>
      <c r="H96" s="91"/>
      <c r="I96" s="171"/>
      <c r="J96" s="171"/>
      <c r="K96" s="171"/>
      <c r="L96" s="171"/>
      <c r="M96" s="171">
        <v>240</v>
      </c>
      <c r="N96" s="171"/>
      <c r="O96" s="171"/>
      <c r="P96" s="179">
        <f ca="1">IF(NFI_Expiration=1,IF($A96&lt;VLOOKUP(H$5,NFI,5,0),1,0)*Table_NFI[[#This Row],[Hygiene Kit]],Table_NFI[[#This Row],[Hygiene Kit]])</f>
        <v>0</v>
      </c>
      <c r="Q96" s="179">
        <f ca="1">IF(NFI_Expiration=1,IF($A96&lt;VLOOKUP(I$5,NFI,5,0),1,0)*Table_NFI[[#This Row],[NFI Core Kit]],Table_NFI[[#This Row],[NFI Core Kit]])</f>
        <v>0</v>
      </c>
      <c r="R96" s="179">
        <f ca="1">IF(NFI_Expiration=1,IF($A96&lt;VLOOKUP(J$5,NFI,5,0),1,0)*Table_NFI[[#This Row],[Sanitary Kit]],Table_NFI[[#This Row],[Sanitary Kit]])</f>
        <v>0</v>
      </c>
      <c r="S96" s="179">
        <f ca="1">IF(NFI_Expiration=1,IF($A96&lt;VLOOKUP(K$5,NFI,5,0),1,0)*Table_NFI[[#This Row],[Mosquitoe net]],Table_NFI[[#This Row],[Mosquitoe net]])</f>
        <v>0</v>
      </c>
      <c r="T96" s="179">
        <f ca="1">IF(NFI_Expiration=1,IF($A96&lt;VLOOKUP(L$5,NFI,5,0),1,0)*Table_NFI[[#This Row],[Tarpaulin]],Table_NFI[[#This Row],[Tarpaulin]])</f>
        <v>0</v>
      </c>
      <c r="U96" s="179">
        <f ca="1">IF(NFI_Expiration=1,IF($A96&lt;VLOOKUP(M$5,NFI,5,0),1,0)*Table_NFI[[#This Row],[Blanket]],Table_NFI[[#This Row],[Blanket]])</f>
        <v>0</v>
      </c>
      <c r="V96" s="179">
        <f ca="1">IF(NFI_Expiration=1,IF($A96&lt;VLOOKUP(N$5,NFI,5,0),1,0)*Table_NFI[[#This Row],[Kitchen Set]],Table_NFI[[#This Row],[Kitchen Set]])</f>
        <v>0</v>
      </c>
      <c r="W96" s="179">
        <f ca="1">IF(NFI_Expiration=1,IF($A96&lt;VLOOKUP(O$5,NFI,5,0),1,0)*Table_NFI[[#This Row],[Complementary Kit]],Table_NFI[[#This Row],[Complementary Kit]])</f>
        <v>0</v>
      </c>
    </row>
    <row r="97" spans="1:23" ht="15">
      <c r="A97" s="125">
        <f ca="1" t="shared" si="2"/>
        <v>14.133333333333333</v>
      </c>
      <c r="B97" s="115">
        <v>41258</v>
      </c>
      <c r="C97" s="117" t="s">
        <v>960</v>
      </c>
      <c r="D97" s="91"/>
      <c r="E97" s="122" t="s">
        <v>434</v>
      </c>
      <c r="F97" s="1" t="s">
        <v>453</v>
      </c>
      <c r="G97" s="91" t="s">
        <v>477</v>
      </c>
      <c r="H97" s="91"/>
      <c r="I97" s="171"/>
      <c r="J97" s="171"/>
      <c r="K97" s="171"/>
      <c r="L97" s="171"/>
      <c r="M97" s="171">
        <v>260</v>
      </c>
      <c r="N97" s="171"/>
      <c r="O97" s="171"/>
      <c r="P97" s="179">
        <f ca="1">IF(NFI_Expiration=1,IF($A97&lt;VLOOKUP(H$5,NFI,5,0),1,0)*Table_NFI[[#This Row],[Hygiene Kit]],Table_NFI[[#This Row],[Hygiene Kit]])</f>
        <v>0</v>
      </c>
      <c r="Q97" s="179">
        <f ca="1">IF(NFI_Expiration=1,IF($A97&lt;VLOOKUP(I$5,NFI,5,0),1,0)*Table_NFI[[#This Row],[NFI Core Kit]],Table_NFI[[#This Row],[NFI Core Kit]])</f>
        <v>0</v>
      </c>
      <c r="R97" s="179">
        <f ca="1">IF(NFI_Expiration=1,IF($A97&lt;VLOOKUP(J$5,NFI,5,0),1,0)*Table_NFI[[#This Row],[Sanitary Kit]],Table_NFI[[#This Row],[Sanitary Kit]])</f>
        <v>0</v>
      </c>
      <c r="S97" s="179">
        <f ca="1">IF(NFI_Expiration=1,IF($A97&lt;VLOOKUP(K$5,NFI,5,0),1,0)*Table_NFI[[#This Row],[Mosquitoe net]],Table_NFI[[#This Row],[Mosquitoe net]])</f>
        <v>0</v>
      </c>
      <c r="T97" s="179">
        <f ca="1">IF(NFI_Expiration=1,IF($A97&lt;VLOOKUP(L$5,NFI,5,0),1,0)*Table_NFI[[#This Row],[Tarpaulin]],Table_NFI[[#This Row],[Tarpaulin]])</f>
        <v>0</v>
      </c>
      <c r="U97" s="179">
        <f ca="1">IF(NFI_Expiration=1,IF($A97&lt;VLOOKUP(M$5,NFI,5,0),1,0)*Table_NFI[[#This Row],[Blanket]],Table_NFI[[#This Row],[Blanket]])</f>
        <v>0</v>
      </c>
      <c r="V97" s="179">
        <f ca="1">IF(NFI_Expiration=1,IF($A97&lt;VLOOKUP(N$5,NFI,5,0),1,0)*Table_NFI[[#This Row],[Kitchen Set]],Table_NFI[[#This Row],[Kitchen Set]])</f>
        <v>0</v>
      </c>
      <c r="W97" s="179">
        <f ca="1">IF(NFI_Expiration=1,IF($A97&lt;VLOOKUP(O$5,NFI,5,0),1,0)*Table_NFI[[#This Row],[Complementary Kit]],Table_NFI[[#This Row],[Complementary Kit]])</f>
        <v>0</v>
      </c>
    </row>
    <row r="98" spans="1:23" ht="15">
      <c r="A98" s="125">
        <f ca="1" t="shared" si="2"/>
        <v>14.166666666666666</v>
      </c>
      <c r="B98" s="115">
        <v>41257</v>
      </c>
      <c r="C98" s="91" t="s">
        <v>964</v>
      </c>
      <c r="D98" s="91" t="s">
        <v>960</v>
      </c>
      <c r="E98" s="91" t="s">
        <v>434</v>
      </c>
      <c r="F98" s="1" t="s">
        <v>460</v>
      </c>
      <c r="G98" s="91" t="s">
        <v>516</v>
      </c>
      <c r="H98" s="91"/>
      <c r="I98" s="171"/>
      <c r="J98" s="171"/>
      <c r="K98" s="171"/>
      <c r="L98" s="171"/>
      <c r="M98" s="171">
        <v>55</v>
      </c>
      <c r="N98" s="171"/>
      <c r="O98" s="171"/>
      <c r="P98" s="179">
        <f ca="1">IF(NFI_Expiration=1,IF($A98&lt;VLOOKUP(H$5,NFI,5,0),1,0)*Table_NFI[[#This Row],[Hygiene Kit]],Table_NFI[[#This Row],[Hygiene Kit]])</f>
        <v>0</v>
      </c>
      <c r="Q98" s="179">
        <f ca="1">IF(NFI_Expiration=1,IF($A98&lt;VLOOKUP(I$5,NFI,5,0),1,0)*Table_NFI[[#This Row],[NFI Core Kit]],Table_NFI[[#This Row],[NFI Core Kit]])</f>
        <v>0</v>
      </c>
      <c r="R98" s="179">
        <f ca="1">IF(NFI_Expiration=1,IF($A98&lt;VLOOKUP(J$5,NFI,5,0),1,0)*Table_NFI[[#This Row],[Sanitary Kit]],Table_NFI[[#This Row],[Sanitary Kit]])</f>
        <v>0</v>
      </c>
      <c r="S98" s="179">
        <f ca="1">IF(NFI_Expiration=1,IF($A98&lt;VLOOKUP(K$5,NFI,5,0),1,0)*Table_NFI[[#This Row],[Mosquitoe net]],Table_NFI[[#This Row],[Mosquitoe net]])</f>
        <v>0</v>
      </c>
      <c r="T98" s="179">
        <f ca="1">IF(NFI_Expiration=1,IF($A98&lt;VLOOKUP(L$5,NFI,5,0),1,0)*Table_NFI[[#This Row],[Tarpaulin]],Table_NFI[[#This Row],[Tarpaulin]])</f>
        <v>0</v>
      </c>
      <c r="U98" s="179">
        <f ca="1">IF(NFI_Expiration=1,IF($A98&lt;VLOOKUP(M$5,NFI,5,0),1,0)*Table_NFI[[#This Row],[Blanket]],Table_NFI[[#This Row],[Blanket]])</f>
        <v>0</v>
      </c>
      <c r="V98" s="179">
        <f ca="1">IF(NFI_Expiration=1,IF($A98&lt;VLOOKUP(N$5,NFI,5,0),1,0)*Table_NFI[[#This Row],[Kitchen Set]],Table_NFI[[#This Row],[Kitchen Set]])</f>
        <v>0</v>
      </c>
      <c r="W98" s="179">
        <f ca="1">IF(NFI_Expiration=1,IF($A98&lt;VLOOKUP(O$5,NFI,5,0),1,0)*Table_NFI[[#This Row],[Complementary Kit]],Table_NFI[[#This Row],[Complementary Kit]])</f>
        <v>0</v>
      </c>
    </row>
    <row r="99" spans="1:23" ht="15">
      <c r="A99" s="125">
        <f ca="1" t="shared" si="2"/>
        <v>14.2</v>
      </c>
      <c r="B99" s="115">
        <v>41256</v>
      </c>
      <c r="C99" s="117" t="s">
        <v>960</v>
      </c>
      <c r="D99" s="91"/>
      <c r="E99" s="122" t="s">
        <v>434</v>
      </c>
      <c r="F99" s="1" t="s">
        <v>460</v>
      </c>
      <c r="G99" s="91" t="s">
        <v>515</v>
      </c>
      <c r="H99" s="91"/>
      <c r="I99" s="171"/>
      <c r="J99" s="171">
        <v>1900</v>
      </c>
      <c r="K99" s="171"/>
      <c r="L99" s="171"/>
      <c r="M99" s="171"/>
      <c r="N99" s="171"/>
      <c r="O99" s="171"/>
      <c r="P99" s="179">
        <f ca="1">IF(NFI_Expiration=1,IF($A99&lt;VLOOKUP(H$5,NFI,5,0),1,0)*Table_NFI[[#This Row],[Hygiene Kit]],Table_NFI[[#This Row],[Hygiene Kit]])</f>
        <v>0</v>
      </c>
      <c r="Q99" s="179">
        <f ca="1">IF(NFI_Expiration=1,IF($A99&lt;VLOOKUP(I$5,NFI,5,0),1,0)*Table_NFI[[#This Row],[NFI Core Kit]],Table_NFI[[#This Row],[NFI Core Kit]])</f>
        <v>0</v>
      </c>
      <c r="R99" s="179">
        <f ca="1">IF(NFI_Expiration=1,IF($A99&lt;VLOOKUP(J$5,NFI,5,0),1,0)*Table_NFI[[#This Row],[Sanitary Kit]],Table_NFI[[#This Row],[Sanitary Kit]])</f>
        <v>0</v>
      </c>
      <c r="S99" s="179">
        <f ca="1">IF(NFI_Expiration=1,IF($A99&lt;VLOOKUP(K$5,NFI,5,0),1,0)*Table_NFI[[#This Row],[Mosquitoe net]],Table_NFI[[#This Row],[Mosquitoe net]])</f>
        <v>0</v>
      </c>
      <c r="T99" s="179">
        <f ca="1">IF(NFI_Expiration=1,IF($A99&lt;VLOOKUP(L$5,NFI,5,0),1,0)*Table_NFI[[#This Row],[Tarpaulin]],Table_NFI[[#This Row],[Tarpaulin]])</f>
        <v>0</v>
      </c>
      <c r="U99" s="179">
        <f ca="1">IF(NFI_Expiration=1,IF($A99&lt;VLOOKUP(M$5,NFI,5,0),1,0)*Table_NFI[[#This Row],[Blanket]],Table_NFI[[#This Row],[Blanket]])</f>
        <v>0</v>
      </c>
      <c r="V99" s="179">
        <f ca="1">IF(NFI_Expiration=1,IF($A99&lt;VLOOKUP(N$5,NFI,5,0),1,0)*Table_NFI[[#This Row],[Kitchen Set]],Table_NFI[[#This Row],[Kitchen Set]])</f>
        <v>0</v>
      </c>
      <c r="W99" s="179">
        <f ca="1">IF(NFI_Expiration=1,IF($A99&lt;VLOOKUP(O$5,NFI,5,0),1,0)*Table_NFI[[#This Row],[Complementary Kit]],Table_NFI[[#This Row],[Complementary Kit]])</f>
        <v>0</v>
      </c>
    </row>
    <row r="100" spans="1:23" ht="15">
      <c r="A100" s="125">
        <f ca="1" t="shared" si="2"/>
        <v>14.2</v>
      </c>
      <c r="B100" s="115">
        <v>41256</v>
      </c>
      <c r="C100" s="117" t="s">
        <v>960</v>
      </c>
      <c r="D100" s="91"/>
      <c r="E100" s="122" t="s">
        <v>434</v>
      </c>
      <c r="F100" s="1" t="s">
        <v>460</v>
      </c>
      <c r="G100" s="91" t="s">
        <v>509</v>
      </c>
      <c r="H100" s="91"/>
      <c r="I100" s="171"/>
      <c r="J100" s="171">
        <v>310</v>
      </c>
      <c r="K100" s="171"/>
      <c r="L100" s="171"/>
      <c r="M100" s="171"/>
      <c r="N100" s="171"/>
      <c r="O100" s="171"/>
      <c r="P100" s="179">
        <f ca="1">IF(NFI_Expiration=1,IF($A100&lt;VLOOKUP(H$5,NFI,5,0),1,0)*Table_NFI[[#This Row],[Hygiene Kit]],Table_NFI[[#This Row],[Hygiene Kit]])</f>
        <v>0</v>
      </c>
      <c r="Q100" s="179">
        <f ca="1">IF(NFI_Expiration=1,IF($A100&lt;VLOOKUP(I$5,NFI,5,0),1,0)*Table_NFI[[#This Row],[NFI Core Kit]],Table_NFI[[#This Row],[NFI Core Kit]])</f>
        <v>0</v>
      </c>
      <c r="R100" s="179">
        <f ca="1">IF(NFI_Expiration=1,IF($A100&lt;VLOOKUP(J$5,NFI,5,0),1,0)*Table_NFI[[#This Row],[Sanitary Kit]],Table_NFI[[#This Row],[Sanitary Kit]])</f>
        <v>0</v>
      </c>
      <c r="S100" s="179">
        <f ca="1">IF(NFI_Expiration=1,IF($A100&lt;VLOOKUP(K$5,NFI,5,0),1,0)*Table_NFI[[#This Row],[Mosquitoe net]],Table_NFI[[#This Row],[Mosquitoe net]])</f>
        <v>0</v>
      </c>
      <c r="T100" s="179">
        <f ca="1">IF(NFI_Expiration=1,IF($A100&lt;VLOOKUP(L$5,NFI,5,0),1,0)*Table_NFI[[#This Row],[Tarpaulin]],Table_NFI[[#This Row],[Tarpaulin]])</f>
        <v>0</v>
      </c>
      <c r="U100" s="179">
        <f ca="1">IF(NFI_Expiration=1,IF($A100&lt;VLOOKUP(M$5,NFI,5,0),1,0)*Table_NFI[[#This Row],[Blanket]],Table_NFI[[#This Row],[Blanket]])</f>
        <v>0</v>
      </c>
      <c r="V100" s="179">
        <f ca="1">IF(NFI_Expiration=1,IF($A100&lt;VLOOKUP(N$5,NFI,5,0),1,0)*Table_NFI[[#This Row],[Kitchen Set]],Table_NFI[[#This Row],[Kitchen Set]])</f>
        <v>0</v>
      </c>
      <c r="W100" s="179">
        <f ca="1">IF(NFI_Expiration=1,IF($A100&lt;VLOOKUP(O$5,NFI,5,0),1,0)*Table_NFI[[#This Row],[Complementary Kit]],Table_NFI[[#This Row],[Complementary Kit]])</f>
        <v>0</v>
      </c>
    </row>
    <row r="101" spans="1:23" ht="15">
      <c r="A101" s="125">
        <f ca="1" t="shared" si="2"/>
        <v>14.2</v>
      </c>
      <c r="B101" s="115">
        <v>41256</v>
      </c>
      <c r="C101" s="117" t="s">
        <v>960</v>
      </c>
      <c r="D101" s="91"/>
      <c r="E101" s="122" t="s">
        <v>434</v>
      </c>
      <c r="F101" s="1" t="s">
        <v>460</v>
      </c>
      <c r="G101" s="91" t="s">
        <v>508</v>
      </c>
      <c r="H101" s="91"/>
      <c r="I101" s="171"/>
      <c r="J101" s="171">
        <v>1707</v>
      </c>
      <c r="K101" s="171"/>
      <c r="L101" s="171"/>
      <c r="M101" s="171"/>
      <c r="N101" s="171"/>
      <c r="O101" s="171"/>
      <c r="P101" s="179">
        <f ca="1">IF(NFI_Expiration=1,IF($A101&lt;VLOOKUP(H$5,NFI,5,0),1,0)*Table_NFI[[#This Row],[Hygiene Kit]],Table_NFI[[#This Row],[Hygiene Kit]])</f>
        <v>0</v>
      </c>
      <c r="Q101" s="179">
        <f ca="1">IF(NFI_Expiration=1,IF($A101&lt;VLOOKUP(I$5,NFI,5,0),1,0)*Table_NFI[[#This Row],[NFI Core Kit]],Table_NFI[[#This Row],[NFI Core Kit]])</f>
        <v>0</v>
      </c>
      <c r="R101" s="179">
        <f ca="1">IF(NFI_Expiration=1,IF($A101&lt;VLOOKUP(J$5,NFI,5,0),1,0)*Table_NFI[[#This Row],[Sanitary Kit]],Table_NFI[[#This Row],[Sanitary Kit]])</f>
        <v>0</v>
      </c>
      <c r="S101" s="179">
        <f ca="1">IF(NFI_Expiration=1,IF($A101&lt;VLOOKUP(K$5,NFI,5,0),1,0)*Table_NFI[[#This Row],[Mosquitoe net]],Table_NFI[[#This Row],[Mosquitoe net]])</f>
        <v>0</v>
      </c>
      <c r="T101" s="179">
        <f ca="1">IF(NFI_Expiration=1,IF($A101&lt;VLOOKUP(L$5,NFI,5,0),1,0)*Table_NFI[[#This Row],[Tarpaulin]],Table_NFI[[#This Row],[Tarpaulin]])</f>
        <v>0</v>
      </c>
      <c r="U101" s="179">
        <f ca="1">IF(NFI_Expiration=1,IF($A101&lt;VLOOKUP(M$5,NFI,5,0),1,0)*Table_NFI[[#This Row],[Blanket]],Table_NFI[[#This Row],[Blanket]])</f>
        <v>0</v>
      </c>
      <c r="V101" s="179">
        <f ca="1">IF(NFI_Expiration=1,IF($A101&lt;VLOOKUP(N$5,NFI,5,0),1,0)*Table_NFI[[#This Row],[Kitchen Set]],Table_NFI[[#This Row],[Kitchen Set]])</f>
        <v>0</v>
      </c>
      <c r="W101" s="179">
        <f ca="1">IF(NFI_Expiration=1,IF($A101&lt;VLOOKUP(O$5,NFI,5,0),1,0)*Table_NFI[[#This Row],[Complementary Kit]],Table_NFI[[#This Row],[Complementary Kit]])</f>
        <v>0</v>
      </c>
    </row>
    <row r="102" spans="1:23" ht="15">
      <c r="A102" s="125">
        <f ca="1" t="shared" si="2"/>
        <v>14.2</v>
      </c>
      <c r="B102" s="115">
        <v>41256</v>
      </c>
      <c r="C102" s="117" t="s">
        <v>960</v>
      </c>
      <c r="D102" s="91"/>
      <c r="E102" s="122" t="s">
        <v>434</v>
      </c>
      <c r="F102" s="1" t="s">
        <v>460</v>
      </c>
      <c r="G102" s="91" t="s">
        <v>513</v>
      </c>
      <c r="H102" s="91"/>
      <c r="I102" s="171"/>
      <c r="J102" s="171">
        <v>2813</v>
      </c>
      <c r="K102" s="171"/>
      <c r="L102" s="171"/>
      <c r="M102" s="171"/>
      <c r="N102" s="171"/>
      <c r="O102" s="171"/>
      <c r="P102" s="179">
        <f ca="1">IF(NFI_Expiration=1,IF($A102&lt;VLOOKUP(H$5,NFI,5,0),1,0)*Table_NFI[[#This Row],[Hygiene Kit]],Table_NFI[[#This Row],[Hygiene Kit]])</f>
        <v>0</v>
      </c>
      <c r="Q102" s="179">
        <f ca="1">IF(NFI_Expiration=1,IF($A102&lt;VLOOKUP(I$5,NFI,5,0),1,0)*Table_NFI[[#This Row],[NFI Core Kit]],Table_NFI[[#This Row],[NFI Core Kit]])</f>
        <v>0</v>
      </c>
      <c r="R102" s="179">
        <f ca="1">IF(NFI_Expiration=1,IF($A102&lt;VLOOKUP(J$5,NFI,5,0),1,0)*Table_NFI[[#This Row],[Sanitary Kit]],Table_NFI[[#This Row],[Sanitary Kit]])</f>
        <v>0</v>
      </c>
      <c r="S102" s="179">
        <f ca="1">IF(NFI_Expiration=1,IF($A102&lt;VLOOKUP(K$5,NFI,5,0),1,0)*Table_NFI[[#This Row],[Mosquitoe net]],Table_NFI[[#This Row],[Mosquitoe net]])</f>
        <v>0</v>
      </c>
      <c r="T102" s="179">
        <f ca="1">IF(NFI_Expiration=1,IF($A102&lt;VLOOKUP(L$5,NFI,5,0),1,0)*Table_NFI[[#This Row],[Tarpaulin]],Table_NFI[[#This Row],[Tarpaulin]])</f>
        <v>0</v>
      </c>
      <c r="U102" s="179">
        <f ca="1">IF(NFI_Expiration=1,IF($A102&lt;VLOOKUP(M$5,NFI,5,0),1,0)*Table_NFI[[#This Row],[Blanket]],Table_NFI[[#This Row],[Blanket]])</f>
        <v>0</v>
      </c>
      <c r="V102" s="179">
        <f ca="1">IF(NFI_Expiration=1,IF($A102&lt;VLOOKUP(N$5,NFI,5,0),1,0)*Table_NFI[[#This Row],[Kitchen Set]],Table_NFI[[#This Row],[Kitchen Set]])</f>
        <v>0</v>
      </c>
      <c r="W102" s="179">
        <f ca="1">IF(NFI_Expiration=1,IF($A102&lt;VLOOKUP(O$5,NFI,5,0),1,0)*Table_NFI[[#This Row],[Complementary Kit]],Table_NFI[[#This Row],[Complementary Kit]])</f>
        <v>0</v>
      </c>
    </row>
    <row r="103" spans="1:23" ht="15">
      <c r="A103" s="125">
        <f ca="1" t="shared" si="2"/>
        <v>14.2</v>
      </c>
      <c r="B103" s="115">
        <v>41256</v>
      </c>
      <c r="C103" s="117" t="s">
        <v>960</v>
      </c>
      <c r="D103" s="91"/>
      <c r="E103" s="122" t="s">
        <v>434</v>
      </c>
      <c r="F103" s="1" t="s">
        <v>460</v>
      </c>
      <c r="G103" s="91" t="s">
        <v>512</v>
      </c>
      <c r="H103" s="91"/>
      <c r="I103" s="171"/>
      <c r="J103" s="171">
        <v>1460</v>
      </c>
      <c r="K103" s="171"/>
      <c r="L103" s="171"/>
      <c r="M103" s="171"/>
      <c r="N103" s="171"/>
      <c r="O103" s="171"/>
      <c r="P103" s="179">
        <f ca="1">IF(NFI_Expiration=1,IF($A103&lt;VLOOKUP(H$5,NFI,5,0),1,0)*Table_NFI[[#This Row],[Hygiene Kit]],Table_NFI[[#This Row],[Hygiene Kit]])</f>
        <v>0</v>
      </c>
      <c r="Q103" s="179">
        <f ca="1">IF(NFI_Expiration=1,IF($A103&lt;VLOOKUP(I$5,NFI,5,0),1,0)*Table_NFI[[#This Row],[NFI Core Kit]],Table_NFI[[#This Row],[NFI Core Kit]])</f>
        <v>0</v>
      </c>
      <c r="R103" s="179">
        <f ca="1">IF(NFI_Expiration=1,IF($A103&lt;VLOOKUP(J$5,NFI,5,0),1,0)*Table_NFI[[#This Row],[Sanitary Kit]],Table_NFI[[#This Row],[Sanitary Kit]])</f>
        <v>0</v>
      </c>
      <c r="S103" s="179">
        <f ca="1">IF(NFI_Expiration=1,IF($A103&lt;VLOOKUP(K$5,NFI,5,0),1,0)*Table_NFI[[#This Row],[Mosquitoe net]],Table_NFI[[#This Row],[Mosquitoe net]])</f>
        <v>0</v>
      </c>
      <c r="T103" s="179">
        <f ca="1">IF(NFI_Expiration=1,IF($A103&lt;VLOOKUP(L$5,NFI,5,0),1,0)*Table_NFI[[#This Row],[Tarpaulin]],Table_NFI[[#This Row],[Tarpaulin]])</f>
        <v>0</v>
      </c>
      <c r="U103" s="179">
        <f ca="1">IF(NFI_Expiration=1,IF($A103&lt;VLOOKUP(M$5,NFI,5,0),1,0)*Table_NFI[[#This Row],[Blanket]],Table_NFI[[#This Row],[Blanket]])</f>
        <v>0</v>
      </c>
      <c r="V103" s="179">
        <f ca="1">IF(NFI_Expiration=1,IF($A103&lt;VLOOKUP(N$5,NFI,5,0),1,0)*Table_NFI[[#This Row],[Kitchen Set]],Table_NFI[[#This Row],[Kitchen Set]])</f>
        <v>0</v>
      </c>
      <c r="W103" s="179">
        <f ca="1">IF(NFI_Expiration=1,IF($A103&lt;VLOOKUP(O$5,NFI,5,0),1,0)*Table_NFI[[#This Row],[Complementary Kit]],Table_NFI[[#This Row],[Complementary Kit]])</f>
        <v>0</v>
      </c>
    </row>
    <row r="104" spans="1:23" ht="15">
      <c r="A104" s="125">
        <f ca="1" t="shared" si="2"/>
        <v>14.2</v>
      </c>
      <c r="B104" s="115">
        <v>41256</v>
      </c>
      <c r="C104" s="117" t="s">
        <v>960</v>
      </c>
      <c r="D104" s="91"/>
      <c r="E104" s="122" t="s">
        <v>434</v>
      </c>
      <c r="F104" s="1" t="s">
        <v>460</v>
      </c>
      <c r="G104" s="91" t="s">
        <v>511</v>
      </c>
      <c r="H104" s="91"/>
      <c r="I104" s="171"/>
      <c r="J104" s="171">
        <v>374</v>
      </c>
      <c r="K104" s="171"/>
      <c r="L104" s="171"/>
      <c r="M104" s="171"/>
      <c r="N104" s="171"/>
      <c r="O104" s="171"/>
      <c r="P104" s="179">
        <f ca="1">IF(NFI_Expiration=1,IF($A104&lt;VLOOKUP(H$5,NFI,5,0),1,0)*Table_NFI[[#This Row],[Hygiene Kit]],Table_NFI[[#This Row],[Hygiene Kit]])</f>
        <v>0</v>
      </c>
      <c r="Q104" s="179">
        <f ca="1">IF(NFI_Expiration=1,IF($A104&lt;VLOOKUP(I$5,NFI,5,0),1,0)*Table_NFI[[#This Row],[NFI Core Kit]],Table_NFI[[#This Row],[NFI Core Kit]])</f>
        <v>0</v>
      </c>
      <c r="R104" s="179">
        <f ca="1">IF(NFI_Expiration=1,IF($A104&lt;VLOOKUP(J$5,NFI,5,0),1,0)*Table_NFI[[#This Row],[Sanitary Kit]],Table_NFI[[#This Row],[Sanitary Kit]])</f>
        <v>0</v>
      </c>
      <c r="S104" s="179">
        <f ca="1">IF(NFI_Expiration=1,IF($A104&lt;VLOOKUP(K$5,NFI,5,0),1,0)*Table_NFI[[#This Row],[Mosquitoe net]],Table_NFI[[#This Row],[Mosquitoe net]])</f>
        <v>0</v>
      </c>
      <c r="T104" s="179">
        <f ca="1">IF(NFI_Expiration=1,IF($A104&lt;VLOOKUP(L$5,NFI,5,0),1,0)*Table_NFI[[#This Row],[Tarpaulin]],Table_NFI[[#This Row],[Tarpaulin]])</f>
        <v>0</v>
      </c>
      <c r="U104" s="179">
        <f ca="1">IF(NFI_Expiration=1,IF($A104&lt;VLOOKUP(M$5,NFI,5,0),1,0)*Table_NFI[[#This Row],[Blanket]],Table_NFI[[#This Row],[Blanket]])</f>
        <v>0</v>
      </c>
      <c r="V104" s="179">
        <f ca="1">IF(NFI_Expiration=1,IF($A104&lt;VLOOKUP(N$5,NFI,5,0),1,0)*Table_NFI[[#This Row],[Kitchen Set]],Table_NFI[[#This Row],[Kitchen Set]])</f>
        <v>0</v>
      </c>
      <c r="W104" s="179">
        <f ca="1">IF(NFI_Expiration=1,IF($A104&lt;VLOOKUP(O$5,NFI,5,0),1,0)*Table_NFI[[#This Row],[Complementary Kit]],Table_NFI[[#This Row],[Complementary Kit]])</f>
        <v>0</v>
      </c>
    </row>
    <row r="105" spans="1:23" ht="15">
      <c r="A105" s="125">
        <f ca="1" t="shared" si="2"/>
        <v>14.2</v>
      </c>
      <c r="B105" s="115">
        <v>41256</v>
      </c>
      <c r="C105" s="117" t="s">
        <v>960</v>
      </c>
      <c r="D105" s="91"/>
      <c r="E105" s="122" t="s">
        <v>434</v>
      </c>
      <c r="F105" s="1" t="s">
        <v>460</v>
      </c>
      <c r="G105" s="91" t="s">
        <v>507</v>
      </c>
      <c r="H105" s="91"/>
      <c r="I105" s="171"/>
      <c r="J105" s="171">
        <v>2142</v>
      </c>
      <c r="K105" s="171"/>
      <c r="L105" s="171"/>
      <c r="M105" s="171"/>
      <c r="N105" s="171"/>
      <c r="O105" s="171"/>
      <c r="P105" s="179">
        <f ca="1">IF(NFI_Expiration=1,IF($A105&lt;VLOOKUP(H$5,NFI,5,0),1,0)*Table_NFI[[#This Row],[Hygiene Kit]],Table_NFI[[#This Row],[Hygiene Kit]])</f>
        <v>0</v>
      </c>
      <c r="Q105" s="179">
        <f ca="1">IF(NFI_Expiration=1,IF($A105&lt;VLOOKUP(I$5,NFI,5,0),1,0)*Table_NFI[[#This Row],[NFI Core Kit]],Table_NFI[[#This Row],[NFI Core Kit]])</f>
        <v>0</v>
      </c>
      <c r="R105" s="179">
        <f ca="1">IF(NFI_Expiration=1,IF($A105&lt;VLOOKUP(J$5,NFI,5,0),1,0)*Table_NFI[[#This Row],[Sanitary Kit]],Table_NFI[[#This Row],[Sanitary Kit]])</f>
        <v>0</v>
      </c>
      <c r="S105" s="179">
        <f ca="1">IF(NFI_Expiration=1,IF($A105&lt;VLOOKUP(K$5,NFI,5,0),1,0)*Table_NFI[[#This Row],[Mosquitoe net]],Table_NFI[[#This Row],[Mosquitoe net]])</f>
        <v>0</v>
      </c>
      <c r="T105" s="179">
        <f ca="1">IF(NFI_Expiration=1,IF($A105&lt;VLOOKUP(L$5,NFI,5,0),1,0)*Table_NFI[[#This Row],[Tarpaulin]],Table_NFI[[#This Row],[Tarpaulin]])</f>
        <v>0</v>
      </c>
      <c r="U105" s="179">
        <f ca="1">IF(NFI_Expiration=1,IF($A105&lt;VLOOKUP(M$5,NFI,5,0),1,0)*Table_NFI[[#This Row],[Blanket]],Table_NFI[[#This Row],[Blanket]])</f>
        <v>0</v>
      </c>
      <c r="V105" s="179">
        <f ca="1">IF(NFI_Expiration=1,IF($A105&lt;VLOOKUP(N$5,NFI,5,0),1,0)*Table_NFI[[#This Row],[Kitchen Set]],Table_NFI[[#This Row],[Kitchen Set]])</f>
        <v>0</v>
      </c>
      <c r="W105" s="179">
        <f ca="1">IF(NFI_Expiration=1,IF($A105&lt;VLOOKUP(O$5,NFI,5,0),1,0)*Table_NFI[[#This Row],[Complementary Kit]],Table_NFI[[#This Row],[Complementary Kit]])</f>
        <v>0</v>
      </c>
    </row>
    <row r="106" spans="1:23" ht="15">
      <c r="A106" s="125">
        <f ca="1" t="shared" si="2"/>
        <v>14.2</v>
      </c>
      <c r="B106" s="115">
        <v>41256</v>
      </c>
      <c r="C106" s="117" t="s">
        <v>960</v>
      </c>
      <c r="D106" s="91"/>
      <c r="E106" s="122" t="s">
        <v>434</v>
      </c>
      <c r="F106" s="1" t="s">
        <v>460</v>
      </c>
      <c r="G106" s="91" t="s">
        <v>510</v>
      </c>
      <c r="H106" s="91"/>
      <c r="I106" s="171"/>
      <c r="J106" s="171">
        <v>65</v>
      </c>
      <c r="K106" s="171"/>
      <c r="L106" s="171"/>
      <c r="M106" s="171"/>
      <c r="N106" s="171"/>
      <c r="O106" s="171"/>
      <c r="P106" s="179">
        <f ca="1">IF(NFI_Expiration=1,IF($A106&lt;VLOOKUP(H$5,NFI,5,0),1,0)*Table_NFI[[#This Row],[Hygiene Kit]],Table_NFI[[#This Row],[Hygiene Kit]])</f>
        <v>0</v>
      </c>
      <c r="Q106" s="179">
        <f ca="1">IF(NFI_Expiration=1,IF($A106&lt;VLOOKUP(I$5,NFI,5,0),1,0)*Table_NFI[[#This Row],[NFI Core Kit]],Table_NFI[[#This Row],[NFI Core Kit]])</f>
        <v>0</v>
      </c>
      <c r="R106" s="179">
        <f ca="1">IF(NFI_Expiration=1,IF($A106&lt;VLOOKUP(J$5,NFI,5,0),1,0)*Table_NFI[[#This Row],[Sanitary Kit]],Table_NFI[[#This Row],[Sanitary Kit]])</f>
        <v>0</v>
      </c>
      <c r="S106" s="179">
        <f ca="1">IF(NFI_Expiration=1,IF($A106&lt;VLOOKUP(K$5,NFI,5,0),1,0)*Table_NFI[[#This Row],[Mosquitoe net]],Table_NFI[[#This Row],[Mosquitoe net]])</f>
        <v>0</v>
      </c>
      <c r="T106" s="179">
        <f ca="1">IF(NFI_Expiration=1,IF($A106&lt;VLOOKUP(L$5,NFI,5,0),1,0)*Table_NFI[[#This Row],[Tarpaulin]],Table_NFI[[#This Row],[Tarpaulin]])</f>
        <v>0</v>
      </c>
      <c r="U106" s="179">
        <f ca="1">IF(NFI_Expiration=1,IF($A106&lt;VLOOKUP(M$5,NFI,5,0),1,0)*Table_NFI[[#This Row],[Blanket]],Table_NFI[[#This Row],[Blanket]])</f>
        <v>0</v>
      </c>
      <c r="V106" s="179">
        <f ca="1">IF(NFI_Expiration=1,IF($A106&lt;VLOOKUP(N$5,NFI,5,0),1,0)*Table_NFI[[#This Row],[Kitchen Set]],Table_NFI[[#This Row],[Kitchen Set]])</f>
        <v>0</v>
      </c>
      <c r="W106" s="179">
        <f ca="1">IF(NFI_Expiration=1,IF($A106&lt;VLOOKUP(O$5,NFI,5,0),1,0)*Table_NFI[[#This Row],[Complementary Kit]],Table_NFI[[#This Row],[Complementary Kit]])</f>
        <v>0</v>
      </c>
    </row>
    <row r="107" spans="1:23" ht="15">
      <c r="A107" s="125">
        <f ca="1" t="shared" si="2"/>
        <v>14.2</v>
      </c>
      <c r="B107" s="115">
        <v>41256</v>
      </c>
      <c r="C107" s="117" t="s">
        <v>960</v>
      </c>
      <c r="D107" s="91"/>
      <c r="E107" s="122" t="s">
        <v>434</v>
      </c>
      <c r="F107" s="1" t="s">
        <v>460</v>
      </c>
      <c r="G107" s="91" t="s">
        <v>506</v>
      </c>
      <c r="H107" s="91"/>
      <c r="I107" s="171"/>
      <c r="J107" s="171">
        <v>302</v>
      </c>
      <c r="K107" s="171"/>
      <c r="L107" s="171"/>
      <c r="M107" s="171"/>
      <c r="N107" s="171"/>
      <c r="O107" s="171"/>
      <c r="P107" s="179">
        <f ca="1">IF(NFI_Expiration=1,IF($A107&lt;VLOOKUP(H$5,NFI,5,0),1,0)*Table_NFI[[#This Row],[Hygiene Kit]],Table_NFI[[#This Row],[Hygiene Kit]])</f>
        <v>0</v>
      </c>
      <c r="Q107" s="179">
        <f ca="1">IF(NFI_Expiration=1,IF($A107&lt;VLOOKUP(I$5,NFI,5,0),1,0)*Table_NFI[[#This Row],[NFI Core Kit]],Table_NFI[[#This Row],[NFI Core Kit]])</f>
        <v>0</v>
      </c>
      <c r="R107" s="179">
        <f ca="1">IF(NFI_Expiration=1,IF($A107&lt;VLOOKUP(J$5,NFI,5,0),1,0)*Table_NFI[[#This Row],[Sanitary Kit]],Table_NFI[[#This Row],[Sanitary Kit]])</f>
        <v>0</v>
      </c>
      <c r="S107" s="179">
        <f ca="1">IF(NFI_Expiration=1,IF($A107&lt;VLOOKUP(K$5,NFI,5,0),1,0)*Table_NFI[[#This Row],[Mosquitoe net]],Table_NFI[[#This Row],[Mosquitoe net]])</f>
        <v>0</v>
      </c>
      <c r="T107" s="179">
        <f ca="1">IF(NFI_Expiration=1,IF($A107&lt;VLOOKUP(L$5,NFI,5,0),1,0)*Table_NFI[[#This Row],[Tarpaulin]],Table_NFI[[#This Row],[Tarpaulin]])</f>
        <v>0</v>
      </c>
      <c r="U107" s="179">
        <f ca="1">IF(NFI_Expiration=1,IF($A107&lt;VLOOKUP(M$5,NFI,5,0),1,0)*Table_NFI[[#This Row],[Blanket]],Table_NFI[[#This Row],[Blanket]])</f>
        <v>0</v>
      </c>
      <c r="V107" s="179">
        <f ca="1">IF(NFI_Expiration=1,IF($A107&lt;VLOOKUP(N$5,NFI,5,0),1,0)*Table_NFI[[#This Row],[Kitchen Set]],Table_NFI[[#This Row],[Kitchen Set]])</f>
        <v>0</v>
      </c>
      <c r="W107" s="179">
        <f ca="1">IF(NFI_Expiration=1,IF($A107&lt;VLOOKUP(O$5,NFI,5,0),1,0)*Table_NFI[[#This Row],[Complementary Kit]],Table_NFI[[#This Row],[Complementary Kit]])</f>
        <v>0</v>
      </c>
    </row>
    <row r="108" spans="1:23" ht="15">
      <c r="A108" s="125">
        <f ca="1" t="shared" si="2"/>
        <v>14.2</v>
      </c>
      <c r="B108" s="115">
        <v>41256</v>
      </c>
      <c r="C108" s="117" t="s">
        <v>960</v>
      </c>
      <c r="D108" s="91"/>
      <c r="E108" s="122" t="s">
        <v>434</v>
      </c>
      <c r="F108" s="1" t="s">
        <v>456</v>
      </c>
      <c r="G108" s="91" t="s">
        <v>487</v>
      </c>
      <c r="H108" s="91"/>
      <c r="I108" s="171"/>
      <c r="J108" s="171"/>
      <c r="K108" s="171"/>
      <c r="L108" s="171"/>
      <c r="M108" s="171">
        <v>18</v>
      </c>
      <c r="N108" s="171"/>
      <c r="O108" s="171"/>
      <c r="P108" s="179">
        <f ca="1">IF(NFI_Expiration=1,IF($A108&lt;VLOOKUP(H$5,NFI,5,0),1,0)*Table_NFI[[#This Row],[Hygiene Kit]],Table_NFI[[#This Row],[Hygiene Kit]])</f>
        <v>0</v>
      </c>
      <c r="Q108" s="179">
        <f ca="1">IF(NFI_Expiration=1,IF($A108&lt;VLOOKUP(I$5,NFI,5,0),1,0)*Table_NFI[[#This Row],[NFI Core Kit]],Table_NFI[[#This Row],[NFI Core Kit]])</f>
        <v>0</v>
      </c>
      <c r="R108" s="179">
        <f ca="1">IF(NFI_Expiration=1,IF($A108&lt;VLOOKUP(J$5,NFI,5,0),1,0)*Table_NFI[[#This Row],[Sanitary Kit]],Table_NFI[[#This Row],[Sanitary Kit]])</f>
        <v>0</v>
      </c>
      <c r="S108" s="179">
        <f ca="1">IF(NFI_Expiration=1,IF($A108&lt;VLOOKUP(K$5,NFI,5,0),1,0)*Table_NFI[[#This Row],[Mosquitoe net]],Table_NFI[[#This Row],[Mosquitoe net]])</f>
        <v>0</v>
      </c>
      <c r="T108" s="179">
        <f ca="1">IF(NFI_Expiration=1,IF($A108&lt;VLOOKUP(L$5,NFI,5,0),1,0)*Table_NFI[[#This Row],[Tarpaulin]],Table_NFI[[#This Row],[Tarpaulin]])</f>
        <v>0</v>
      </c>
      <c r="U108" s="179">
        <f ca="1">IF(NFI_Expiration=1,IF($A108&lt;VLOOKUP(M$5,NFI,5,0),1,0)*Table_NFI[[#This Row],[Blanket]],Table_NFI[[#This Row],[Blanket]])</f>
        <v>0</v>
      </c>
      <c r="V108" s="179">
        <f ca="1">IF(NFI_Expiration=1,IF($A108&lt;VLOOKUP(N$5,NFI,5,0),1,0)*Table_NFI[[#This Row],[Kitchen Set]],Table_NFI[[#This Row],[Kitchen Set]])</f>
        <v>0</v>
      </c>
      <c r="W108" s="179">
        <f ca="1">IF(NFI_Expiration=1,IF($A108&lt;VLOOKUP(O$5,NFI,5,0),1,0)*Table_NFI[[#This Row],[Complementary Kit]],Table_NFI[[#This Row],[Complementary Kit]])</f>
        <v>0</v>
      </c>
    </row>
    <row r="109" spans="1:23" ht="15">
      <c r="A109" s="125">
        <f ca="1" t="shared" si="2"/>
        <v>14.2</v>
      </c>
      <c r="B109" s="115">
        <v>41256</v>
      </c>
      <c r="C109" s="117" t="s">
        <v>960</v>
      </c>
      <c r="D109" s="91"/>
      <c r="E109" s="122" t="s">
        <v>434</v>
      </c>
      <c r="F109" s="1" t="s">
        <v>456</v>
      </c>
      <c r="G109" s="91" t="s">
        <v>489</v>
      </c>
      <c r="H109" s="91"/>
      <c r="I109" s="171"/>
      <c r="J109" s="171"/>
      <c r="K109" s="171"/>
      <c r="L109" s="171"/>
      <c r="M109" s="171">
        <v>87</v>
      </c>
      <c r="N109" s="171"/>
      <c r="O109" s="171"/>
      <c r="P109" s="179">
        <f ca="1">IF(NFI_Expiration=1,IF($A109&lt;VLOOKUP(H$5,NFI,5,0),1,0)*Table_NFI[[#This Row],[Hygiene Kit]],Table_NFI[[#This Row],[Hygiene Kit]])</f>
        <v>0</v>
      </c>
      <c r="Q109" s="179">
        <f ca="1">IF(NFI_Expiration=1,IF($A109&lt;VLOOKUP(I$5,NFI,5,0),1,0)*Table_NFI[[#This Row],[NFI Core Kit]],Table_NFI[[#This Row],[NFI Core Kit]])</f>
        <v>0</v>
      </c>
      <c r="R109" s="179">
        <f ca="1">IF(NFI_Expiration=1,IF($A109&lt;VLOOKUP(J$5,NFI,5,0),1,0)*Table_NFI[[#This Row],[Sanitary Kit]],Table_NFI[[#This Row],[Sanitary Kit]])</f>
        <v>0</v>
      </c>
      <c r="S109" s="179">
        <f ca="1">IF(NFI_Expiration=1,IF($A109&lt;VLOOKUP(K$5,NFI,5,0),1,0)*Table_NFI[[#This Row],[Mosquitoe net]],Table_NFI[[#This Row],[Mosquitoe net]])</f>
        <v>0</v>
      </c>
      <c r="T109" s="179">
        <f ca="1">IF(NFI_Expiration=1,IF($A109&lt;VLOOKUP(L$5,NFI,5,0),1,0)*Table_NFI[[#This Row],[Tarpaulin]],Table_NFI[[#This Row],[Tarpaulin]])</f>
        <v>0</v>
      </c>
      <c r="U109" s="179">
        <f ca="1">IF(NFI_Expiration=1,IF($A109&lt;VLOOKUP(M$5,NFI,5,0),1,0)*Table_NFI[[#This Row],[Blanket]],Table_NFI[[#This Row],[Blanket]])</f>
        <v>0</v>
      </c>
      <c r="V109" s="179">
        <f ca="1">IF(NFI_Expiration=1,IF($A109&lt;VLOOKUP(N$5,NFI,5,0),1,0)*Table_NFI[[#This Row],[Kitchen Set]],Table_NFI[[#This Row],[Kitchen Set]])</f>
        <v>0</v>
      </c>
      <c r="W109" s="179">
        <f ca="1">IF(NFI_Expiration=1,IF($A109&lt;VLOOKUP(O$5,NFI,5,0),1,0)*Table_NFI[[#This Row],[Complementary Kit]],Table_NFI[[#This Row],[Complementary Kit]])</f>
        <v>0</v>
      </c>
    </row>
    <row r="110" spans="1:23" ht="15">
      <c r="A110" s="125">
        <f ca="1" t="shared" si="2"/>
        <v>14.2</v>
      </c>
      <c r="B110" s="115">
        <v>41256</v>
      </c>
      <c r="C110" s="117" t="s">
        <v>960</v>
      </c>
      <c r="D110" s="91"/>
      <c r="E110" s="122" t="s">
        <v>434</v>
      </c>
      <c r="F110" s="1" t="s">
        <v>456</v>
      </c>
      <c r="G110" s="91" t="s">
        <v>493</v>
      </c>
      <c r="H110" s="91"/>
      <c r="I110" s="171"/>
      <c r="J110" s="171"/>
      <c r="K110" s="171"/>
      <c r="L110" s="171"/>
      <c r="M110" s="171">
        <v>60</v>
      </c>
      <c r="N110" s="171"/>
      <c r="O110" s="171"/>
      <c r="P110" s="179">
        <f ca="1">IF(NFI_Expiration=1,IF($A110&lt;VLOOKUP(H$5,NFI,5,0),1,0)*Table_NFI[[#This Row],[Hygiene Kit]],Table_NFI[[#This Row],[Hygiene Kit]])</f>
        <v>0</v>
      </c>
      <c r="Q110" s="179">
        <f ca="1">IF(NFI_Expiration=1,IF($A110&lt;VLOOKUP(I$5,NFI,5,0),1,0)*Table_NFI[[#This Row],[NFI Core Kit]],Table_NFI[[#This Row],[NFI Core Kit]])</f>
        <v>0</v>
      </c>
      <c r="R110" s="179">
        <f ca="1">IF(NFI_Expiration=1,IF($A110&lt;VLOOKUP(J$5,NFI,5,0),1,0)*Table_NFI[[#This Row],[Sanitary Kit]],Table_NFI[[#This Row],[Sanitary Kit]])</f>
        <v>0</v>
      </c>
      <c r="S110" s="179">
        <f ca="1">IF(NFI_Expiration=1,IF($A110&lt;VLOOKUP(K$5,NFI,5,0),1,0)*Table_NFI[[#This Row],[Mosquitoe net]],Table_NFI[[#This Row],[Mosquitoe net]])</f>
        <v>0</v>
      </c>
      <c r="T110" s="179">
        <f ca="1">IF(NFI_Expiration=1,IF($A110&lt;VLOOKUP(L$5,NFI,5,0),1,0)*Table_NFI[[#This Row],[Tarpaulin]],Table_NFI[[#This Row],[Tarpaulin]])</f>
        <v>0</v>
      </c>
      <c r="U110" s="179">
        <f ca="1">IF(NFI_Expiration=1,IF($A110&lt;VLOOKUP(M$5,NFI,5,0),1,0)*Table_NFI[[#This Row],[Blanket]],Table_NFI[[#This Row],[Blanket]])</f>
        <v>0</v>
      </c>
      <c r="V110" s="179">
        <f ca="1">IF(NFI_Expiration=1,IF($A110&lt;VLOOKUP(N$5,NFI,5,0),1,0)*Table_NFI[[#This Row],[Kitchen Set]],Table_NFI[[#This Row],[Kitchen Set]])</f>
        <v>0</v>
      </c>
      <c r="W110" s="179">
        <f ca="1">IF(NFI_Expiration=1,IF($A110&lt;VLOOKUP(O$5,NFI,5,0),1,0)*Table_NFI[[#This Row],[Complementary Kit]],Table_NFI[[#This Row],[Complementary Kit]])</f>
        <v>0</v>
      </c>
    </row>
    <row r="111" spans="1:23" ht="15">
      <c r="A111" s="125">
        <f ca="1" t="shared" si="2"/>
        <v>14.2</v>
      </c>
      <c r="B111" s="115">
        <v>41256</v>
      </c>
      <c r="C111" s="117" t="s">
        <v>960</v>
      </c>
      <c r="D111" s="91"/>
      <c r="E111" s="122" t="s">
        <v>434</v>
      </c>
      <c r="F111" s="1" t="s">
        <v>456</v>
      </c>
      <c r="G111" s="91" t="s">
        <v>494</v>
      </c>
      <c r="H111" s="91"/>
      <c r="I111" s="171"/>
      <c r="J111" s="171"/>
      <c r="K111" s="171"/>
      <c r="L111" s="171"/>
      <c r="M111" s="171">
        <v>86</v>
      </c>
      <c r="N111" s="171"/>
      <c r="O111" s="171"/>
      <c r="P111" s="179">
        <f ca="1">IF(NFI_Expiration=1,IF($A111&lt;VLOOKUP(H$5,NFI,5,0),1,0)*Table_NFI[[#This Row],[Hygiene Kit]],Table_NFI[[#This Row],[Hygiene Kit]])</f>
        <v>0</v>
      </c>
      <c r="Q111" s="179">
        <f ca="1">IF(NFI_Expiration=1,IF($A111&lt;VLOOKUP(I$5,NFI,5,0),1,0)*Table_NFI[[#This Row],[NFI Core Kit]],Table_NFI[[#This Row],[NFI Core Kit]])</f>
        <v>0</v>
      </c>
      <c r="R111" s="179">
        <f ca="1">IF(NFI_Expiration=1,IF($A111&lt;VLOOKUP(J$5,NFI,5,0),1,0)*Table_NFI[[#This Row],[Sanitary Kit]],Table_NFI[[#This Row],[Sanitary Kit]])</f>
        <v>0</v>
      </c>
      <c r="S111" s="179">
        <f ca="1">IF(NFI_Expiration=1,IF($A111&lt;VLOOKUP(K$5,NFI,5,0),1,0)*Table_NFI[[#This Row],[Mosquitoe net]],Table_NFI[[#This Row],[Mosquitoe net]])</f>
        <v>0</v>
      </c>
      <c r="T111" s="179">
        <f ca="1">IF(NFI_Expiration=1,IF($A111&lt;VLOOKUP(L$5,NFI,5,0),1,0)*Table_NFI[[#This Row],[Tarpaulin]],Table_NFI[[#This Row],[Tarpaulin]])</f>
        <v>0</v>
      </c>
      <c r="U111" s="179">
        <f ca="1">IF(NFI_Expiration=1,IF($A111&lt;VLOOKUP(M$5,NFI,5,0),1,0)*Table_NFI[[#This Row],[Blanket]],Table_NFI[[#This Row],[Blanket]])</f>
        <v>0</v>
      </c>
      <c r="V111" s="179">
        <f ca="1">IF(NFI_Expiration=1,IF($A111&lt;VLOOKUP(N$5,NFI,5,0),1,0)*Table_NFI[[#This Row],[Kitchen Set]],Table_NFI[[#This Row],[Kitchen Set]])</f>
        <v>0</v>
      </c>
      <c r="W111" s="179">
        <f ca="1">IF(NFI_Expiration=1,IF($A111&lt;VLOOKUP(O$5,NFI,5,0),1,0)*Table_NFI[[#This Row],[Complementary Kit]],Table_NFI[[#This Row],[Complementary Kit]])</f>
        <v>0</v>
      </c>
    </row>
    <row r="112" spans="1:23" ht="15">
      <c r="A112" s="125">
        <f ca="1" t="shared" si="2"/>
        <v>14.2</v>
      </c>
      <c r="B112" s="115">
        <v>41256</v>
      </c>
      <c r="C112" s="117" t="s">
        <v>960</v>
      </c>
      <c r="D112" s="91"/>
      <c r="E112" s="122" t="s">
        <v>434</v>
      </c>
      <c r="F112" s="1" t="s">
        <v>456</v>
      </c>
      <c r="G112" s="91" t="s">
        <v>491</v>
      </c>
      <c r="H112" s="91"/>
      <c r="I112" s="171"/>
      <c r="J112" s="171"/>
      <c r="K112" s="171"/>
      <c r="L112" s="171"/>
      <c r="M112" s="171">
        <v>90</v>
      </c>
      <c r="N112" s="171"/>
      <c r="O112" s="171"/>
      <c r="P112" s="179">
        <f ca="1">IF(NFI_Expiration=1,IF($A112&lt;VLOOKUP(H$5,NFI,5,0),1,0)*Table_NFI[[#This Row],[Hygiene Kit]],Table_NFI[[#This Row],[Hygiene Kit]])</f>
        <v>0</v>
      </c>
      <c r="Q112" s="179">
        <f ca="1">IF(NFI_Expiration=1,IF($A112&lt;VLOOKUP(I$5,NFI,5,0),1,0)*Table_NFI[[#This Row],[NFI Core Kit]],Table_NFI[[#This Row],[NFI Core Kit]])</f>
        <v>0</v>
      </c>
      <c r="R112" s="179">
        <f ca="1">IF(NFI_Expiration=1,IF($A112&lt;VLOOKUP(J$5,NFI,5,0),1,0)*Table_NFI[[#This Row],[Sanitary Kit]],Table_NFI[[#This Row],[Sanitary Kit]])</f>
        <v>0</v>
      </c>
      <c r="S112" s="179">
        <f ca="1">IF(NFI_Expiration=1,IF($A112&lt;VLOOKUP(K$5,NFI,5,0),1,0)*Table_NFI[[#This Row],[Mosquitoe net]],Table_NFI[[#This Row],[Mosquitoe net]])</f>
        <v>0</v>
      </c>
      <c r="T112" s="179">
        <f ca="1">IF(NFI_Expiration=1,IF($A112&lt;VLOOKUP(L$5,NFI,5,0),1,0)*Table_NFI[[#This Row],[Tarpaulin]],Table_NFI[[#This Row],[Tarpaulin]])</f>
        <v>0</v>
      </c>
      <c r="U112" s="179">
        <f ca="1">IF(NFI_Expiration=1,IF($A112&lt;VLOOKUP(M$5,NFI,5,0),1,0)*Table_NFI[[#This Row],[Blanket]],Table_NFI[[#This Row],[Blanket]])</f>
        <v>0</v>
      </c>
      <c r="V112" s="179">
        <f ca="1">IF(NFI_Expiration=1,IF($A112&lt;VLOOKUP(N$5,NFI,5,0),1,0)*Table_NFI[[#This Row],[Kitchen Set]],Table_NFI[[#This Row],[Kitchen Set]])</f>
        <v>0</v>
      </c>
      <c r="W112" s="179">
        <f ca="1">IF(NFI_Expiration=1,IF($A112&lt;VLOOKUP(O$5,NFI,5,0),1,0)*Table_NFI[[#This Row],[Complementary Kit]],Table_NFI[[#This Row],[Complementary Kit]])</f>
        <v>0</v>
      </c>
    </row>
    <row r="113" spans="1:23" ht="15">
      <c r="A113" s="125">
        <f ca="1" t="shared" si="2"/>
        <v>14.2</v>
      </c>
      <c r="B113" s="115">
        <v>41256</v>
      </c>
      <c r="C113" s="117" t="s">
        <v>960</v>
      </c>
      <c r="D113" s="91"/>
      <c r="E113" s="122" t="s">
        <v>434</v>
      </c>
      <c r="F113" s="1" t="s">
        <v>456</v>
      </c>
      <c r="G113" s="91" t="s">
        <v>495</v>
      </c>
      <c r="H113" s="91"/>
      <c r="I113" s="171"/>
      <c r="J113" s="171"/>
      <c r="K113" s="171"/>
      <c r="L113" s="171"/>
      <c r="M113" s="171">
        <v>57</v>
      </c>
      <c r="N113" s="171"/>
      <c r="O113" s="171"/>
      <c r="P113" s="179">
        <f ca="1">IF(NFI_Expiration=1,IF($A113&lt;VLOOKUP(H$5,NFI,5,0),1,0)*Table_NFI[[#This Row],[Hygiene Kit]],Table_NFI[[#This Row],[Hygiene Kit]])</f>
        <v>0</v>
      </c>
      <c r="Q113" s="179">
        <f ca="1">IF(NFI_Expiration=1,IF($A113&lt;VLOOKUP(I$5,NFI,5,0),1,0)*Table_NFI[[#This Row],[NFI Core Kit]],Table_NFI[[#This Row],[NFI Core Kit]])</f>
        <v>0</v>
      </c>
      <c r="R113" s="179">
        <f ca="1">IF(NFI_Expiration=1,IF($A113&lt;VLOOKUP(J$5,NFI,5,0),1,0)*Table_NFI[[#This Row],[Sanitary Kit]],Table_NFI[[#This Row],[Sanitary Kit]])</f>
        <v>0</v>
      </c>
      <c r="S113" s="179">
        <f ca="1">IF(NFI_Expiration=1,IF($A113&lt;VLOOKUP(K$5,NFI,5,0),1,0)*Table_NFI[[#This Row],[Mosquitoe net]],Table_NFI[[#This Row],[Mosquitoe net]])</f>
        <v>0</v>
      </c>
      <c r="T113" s="179">
        <f ca="1">IF(NFI_Expiration=1,IF($A113&lt;VLOOKUP(L$5,NFI,5,0),1,0)*Table_NFI[[#This Row],[Tarpaulin]],Table_NFI[[#This Row],[Tarpaulin]])</f>
        <v>0</v>
      </c>
      <c r="U113" s="179">
        <f ca="1">IF(NFI_Expiration=1,IF($A113&lt;VLOOKUP(M$5,NFI,5,0),1,0)*Table_NFI[[#This Row],[Blanket]],Table_NFI[[#This Row],[Blanket]])</f>
        <v>0</v>
      </c>
      <c r="V113" s="179">
        <f ca="1">IF(NFI_Expiration=1,IF($A113&lt;VLOOKUP(N$5,NFI,5,0),1,0)*Table_NFI[[#This Row],[Kitchen Set]],Table_NFI[[#This Row],[Kitchen Set]])</f>
        <v>0</v>
      </c>
      <c r="W113" s="179">
        <f ca="1">IF(NFI_Expiration=1,IF($A113&lt;VLOOKUP(O$5,NFI,5,0),1,0)*Table_NFI[[#This Row],[Complementary Kit]],Table_NFI[[#This Row],[Complementary Kit]])</f>
        <v>0</v>
      </c>
    </row>
    <row r="114" spans="1:23" ht="15">
      <c r="A114" s="125">
        <f ca="1" t="shared" si="2"/>
        <v>14.2</v>
      </c>
      <c r="B114" s="115">
        <v>41256</v>
      </c>
      <c r="C114" s="117" t="s">
        <v>960</v>
      </c>
      <c r="D114" s="91"/>
      <c r="E114" s="122" t="s">
        <v>434</v>
      </c>
      <c r="F114" s="1" t="s">
        <v>456</v>
      </c>
      <c r="G114" s="91" t="s">
        <v>496</v>
      </c>
      <c r="H114" s="91"/>
      <c r="I114" s="171"/>
      <c r="J114" s="171"/>
      <c r="K114" s="171"/>
      <c r="L114" s="171"/>
      <c r="M114" s="171">
        <v>128</v>
      </c>
      <c r="N114" s="171"/>
      <c r="O114" s="171"/>
      <c r="P114" s="179">
        <f ca="1">IF(NFI_Expiration=1,IF($A114&lt;VLOOKUP(H$5,NFI,5,0),1,0)*Table_NFI[[#This Row],[Hygiene Kit]],Table_NFI[[#This Row],[Hygiene Kit]])</f>
        <v>0</v>
      </c>
      <c r="Q114" s="179">
        <f ca="1">IF(NFI_Expiration=1,IF($A114&lt;VLOOKUP(I$5,NFI,5,0),1,0)*Table_NFI[[#This Row],[NFI Core Kit]],Table_NFI[[#This Row],[NFI Core Kit]])</f>
        <v>0</v>
      </c>
      <c r="R114" s="179">
        <f ca="1">IF(NFI_Expiration=1,IF($A114&lt;VLOOKUP(J$5,NFI,5,0),1,0)*Table_NFI[[#This Row],[Sanitary Kit]],Table_NFI[[#This Row],[Sanitary Kit]])</f>
        <v>0</v>
      </c>
      <c r="S114" s="179">
        <f ca="1">IF(NFI_Expiration=1,IF($A114&lt;VLOOKUP(K$5,NFI,5,0),1,0)*Table_NFI[[#This Row],[Mosquitoe net]],Table_NFI[[#This Row],[Mosquitoe net]])</f>
        <v>0</v>
      </c>
      <c r="T114" s="179">
        <f ca="1">IF(NFI_Expiration=1,IF($A114&lt;VLOOKUP(L$5,NFI,5,0),1,0)*Table_NFI[[#This Row],[Tarpaulin]],Table_NFI[[#This Row],[Tarpaulin]])</f>
        <v>0</v>
      </c>
      <c r="U114" s="179">
        <f ca="1">IF(NFI_Expiration=1,IF($A114&lt;VLOOKUP(M$5,NFI,5,0),1,0)*Table_NFI[[#This Row],[Blanket]],Table_NFI[[#This Row],[Blanket]])</f>
        <v>0</v>
      </c>
      <c r="V114" s="179">
        <f ca="1">IF(NFI_Expiration=1,IF($A114&lt;VLOOKUP(N$5,NFI,5,0),1,0)*Table_NFI[[#This Row],[Kitchen Set]],Table_NFI[[#This Row],[Kitchen Set]])</f>
        <v>0</v>
      </c>
      <c r="W114" s="179">
        <f ca="1">IF(NFI_Expiration=1,IF($A114&lt;VLOOKUP(O$5,NFI,5,0),1,0)*Table_NFI[[#This Row],[Complementary Kit]],Table_NFI[[#This Row],[Complementary Kit]])</f>
        <v>0</v>
      </c>
    </row>
    <row r="115" spans="1:23" ht="15">
      <c r="A115" s="125">
        <f ca="1" t="shared" si="2"/>
        <v>14.2</v>
      </c>
      <c r="B115" s="115">
        <v>41256</v>
      </c>
      <c r="C115" s="117" t="s">
        <v>960</v>
      </c>
      <c r="D115" s="91"/>
      <c r="E115" s="122" t="s">
        <v>434</v>
      </c>
      <c r="F115" s="1" t="s">
        <v>456</v>
      </c>
      <c r="G115" s="91"/>
      <c r="H115" s="91"/>
      <c r="I115" s="171"/>
      <c r="J115" s="171"/>
      <c r="K115" s="171"/>
      <c r="L115" s="171"/>
      <c r="M115" s="171">
        <v>21</v>
      </c>
      <c r="N115" s="171"/>
      <c r="O115" s="171"/>
      <c r="P115" s="179">
        <f ca="1">IF(NFI_Expiration=1,IF($A115&lt;VLOOKUP(H$5,NFI,5,0),1,0)*Table_NFI[[#This Row],[Hygiene Kit]],Table_NFI[[#This Row],[Hygiene Kit]])</f>
        <v>0</v>
      </c>
      <c r="Q115" s="179">
        <f ca="1">IF(NFI_Expiration=1,IF($A115&lt;VLOOKUP(I$5,NFI,5,0),1,0)*Table_NFI[[#This Row],[NFI Core Kit]],Table_NFI[[#This Row],[NFI Core Kit]])</f>
        <v>0</v>
      </c>
      <c r="R115" s="179">
        <f ca="1">IF(NFI_Expiration=1,IF($A115&lt;VLOOKUP(J$5,NFI,5,0),1,0)*Table_NFI[[#This Row],[Sanitary Kit]],Table_NFI[[#This Row],[Sanitary Kit]])</f>
        <v>0</v>
      </c>
      <c r="S115" s="179">
        <f ca="1">IF(NFI_Expiration=1,IF($A115&lt;VLOOKUP(K$5,NFI,5,0),1,0)*Table_NFI[[#This Row],[Mosquitoe net]],Table_NFI[[#This Row],[Mosquitoe net]])</f>
        <v>0</v>
      </c>
      <c r="T115" s="179">
        <f ca="1">IF(NFI_Expiration=1,IF($A115&lt;VLOOKUP(L$5,NFI,5,0),1,0)*Table_NFI[[#This Row],[Tarpaulin]],Table_NFI[[#This Row],[Tarpaulin]])</f>
        <v>0</v>
      </c>
      <c r="U115" s="179">
        <f ca="1">IF(NFI_Expiration=1,IF($A115&lt;VLOOKUP(M$5,NFI,5,0),1,0)*Table_NFI[[#This Row],[Blanket]],Table_NFI[[#This Row],[Blanket]])</f>
        <v>0</v>
      </c>
      <c r="V115" s="179">
        <f ca="1">IF(NFI_Expiration=1,IF($A115&lt;VLOOKUP(N$5,NFI,5,0),1,0)*Table_NFI[[#This Row],[Kitchen Set]],Table_NFI[[#This Row],[Kitchen Set]])</f>
        <v>0</v>
      </c>
      <c r="W115" s="179">
        <f ca="1">IF(NFI_Expiration=1,IF($A115&lt;VLOOKUP(O$5,NFI,5,0),1,0)*Table_NFI[[#This Row],[Complementary Kit]],Table_NFI[[#This Row],[Complementary Kit]])</f>
        <v>0</v>
      </c>
    </row>
    <row r="116" spans="1:23" ht="15">
      <c r="A116" s="125">
        <f ca="1" t="shared" si="2"/>
        <v>14.2</v>
      </c>
      <c r="B116" s="115">
        <v>41256</v>
      </c>
      <c r="C116" s="117" t="s">
        <v>960</v>
      </c>
      <c r="D116" s="91"/>
      <c r="E116" s="122" t="s">
        <v>434</v>
      </c>
      <c r="F116" s="1" t="s">
        <v>452</v>
      </c>
      <c r="G116" s="91" t="s">
        <v>468</v>
      </c>
      <c r="H116" s="91"/>
      <c r="I116" s="171"/>
      <c r="J116" s="171"/>
      <c r="K116" s="171"/>
      <c r="L116" s="171"/>
      <c r="M116" s="171">
        <v>2</v>
      </c>
      <c r="N116" s="171"/>
      <c r="O116" s="171"/>
      <c r="P116" s="179">
        <f ca="1">IF(NFI_Expiration=1,IF($A116&lt;VLOOKUP(H$5,NFI,5,0),1,0)*Table_NFI[[#This Row],[Hygiene Kit]],Table_NFI[[#This Row],[Hygiene Kit]])</f>
        <v>0</v>
      </c>
      <c r="Q116" s="179">
        <f ca="1">IF(NFI_Expiration=1,IF($A116&lt;VLOOKUP(I$5,NFI,5,0),1,0)*Table_NFI[[#This Row],[NFI Core Kit]],Table_NFI[[#This Row],[NFI Core Kit]])</f>
        <v>0</v>
      </c>
      <c r="R116" s="179">
        <f ca="1">IF(NFI_Expiration=1,IF($A116&lt;VLOOKUP(J$5,NFI,5,0),1,0)*Table_NFI[[#This Row],[Sanitary Kit]],Table_NFI[[#This Row],[Sanitary Kit]])</f>
        <v>0</v>
      </c>
      <c r="S116" s="179">
        <f ca="1">IF(NFI_Expiration=1,IF($A116&lt;VLOOKUP(K$5,NFI,5,0),1,0)*Table_NFI[[#This Row],[Mosquitoe net]],Table_NFI[[#This Row],[Mosquitoe net]])</f>
        <v>0</v>
      </c>
      <c r="T116" s="179">
        <f ca="1">IF(NFI_Expiration=1,IF($A116&lt;VLOOKUP(L$5,NFI,5,0),1,0)*Table_NFI[[#This Row],[Tarpaulin]],Table_NFI[[#This Row],[Tarpaulin]])</f>
        <v>0</v>
      </c>
      <c r="U116" s="179">
        <f ca="1">IF(NFI_Expiration=1,IF($A116&lt;VLOOKUP(M$5,NFI,5,0),1,0)*Table_NFI[[#This Row],[Blanket]],Table_NFI[[#This Row],[Blanket]])</f>
        <v>0</v>
      </c>
      <c r="V116" s="179">
        <f ca="1">IF(NFI_Expiration=1,IF($A116&lt;VLOOKUP(N$5,NFI,5,0),1,0)*Table_NFI[[#This Row],[Kitchen Set]],Table_NFI[[#This Row],[Kitchen Set]])</f>
        <v>0</v>
      </c>
      <c r="W116" s="179">
        <f ca="1">IF(NFI_Expiration=1,IF($A116&lt;VLOOKUP(O$5,NFI,5,0),1,0)*Table_NFI[[#This Row],[Complementary Kit]],Table_NFI[[#This Row],[Complementary Kit]])</f>
        <v>0</v>
      </c>
    </row>
    <row r="117" spans="1:23" ht="15">
      <c r="A117" s="125">
        <f ca="1" t="shared" si="2"/>
        <v>14.2</v>
      </c>
      <c r="B117" s="115">
        <v>41256</v>
      </c>
      <c r="C117" s="117" t="s">
        <v>960</v>
      </c>
      <c r="D117" s="91"/>
      <c r="E117" s="122" t="s">
        <v>434</v>
      </c>
      <c r="F117" s="1" t="s">
        <v>452</v>
      </c>
      <c r="G117" s="91" t="s">
        <v>469</v>
      </c>
      <c r="H117" s="91"/>
      <c r="I117" s="171"/>
      <c r="J117" s="171"/>
      <c r="K117" s="171"/>
      <c r="L117" s="171"/>
      <c r="M117" s="171">
        <v>153</v>
      </c>
      <c r="N117" s="171"/>
      <c r="O117" s="171"/>
      <c r="P117" s="179">
        <f ca="1">IF(NFI_Expiration=1,IF($A117&lt;VLOOKUP(H$5,NFI,5,0),1,0)*Table_NFI[[#This Row],[Hygiene Kit]],Table_NFI[[#This Row],[Hygiene Kit]])</f>
        <v>0</v>
      </c>
      <c r="Q117" s="179">
        <f ca="1">IF(NFI_Expiration=1,IF($A117&lt;VLOOKUP(I$5,NFI,5,0),1,0)*Table_NFI[[#This Row],[NFI Core Kit]],Table_NFI[[#This Row],[NFI Core Kit]])</f>
        <v>0</v>
      </c>
      <c r="R117" s="179">
        <f ca="1">IF(NFI_Expiration=1,IF($A117&lt;VLOOKUP(J$5,NFI,5,0),1,0)*Table_NFI[[#This Row],[Sanitary Kit]],Table_NFI[[#This Row],[Sanitary Kit]])</f>
        <v>0</v>
      </c>
      <c r="S117" s="179">
        <f ca="1">IF(NFI_Expiration=1,IF($A117&lt;VLOOKUP(K$5,NFI,5,0),1,0)*Table_NFI[[#This Row],[Mosquitoe net]],Table_NFI[[#This Row],[Mosquitoe net]])</f>
        <v>0</v>
      </c>
      <c r="T117" s="179">
        <f ca="1">IF(NFI_Expiration=1,IF($A117&lt;VLOOKUP(L$5,NFI,5,0),1,0)*Table_NFI[[#This Row],[Tarpaulin]],Table_NFI[[#This Row],[Tarpaulin]])</f>
        <v>0</v>
      </c>
      <c r="U117" s="179">
        <f ca="1">IF(NFI_Expiration=1,IF($A117&lt;VLOOKUP(M$5,NFI,5,0),1,0)*Table_NFI[[#This Row],[Blanket]],Table_NFI[[#This Row],[Blanket]])</f>
        <v>0</v>
      </c>
      <c r="V117" s="179">
        <f ca="1">IF(NFI_Expiration=1,IF($A117&lt;VLOOKUP(N$5,NFI,5,0),1,0)*Table_NFI[[#This Row],[Kitchen Set]],Table_NFI[[#This Row],[Kitchen Set]])</f>
        <v>0</v>
      </c>
      <c r="W117" s="179">
        <f ca="1">IF(NFI_Expiration=1,IF($A117&lt;VLOOKUP(O$5,NFI,5,0),1,0)*Table_NFI[[#This Row],[Complementary Kit]],Table_NFI[[#This Row],[Complementary Kit]])</f>
        <v>0</v>
      </c>
    </row>
    <row r="118" spans="1:23" ht="15">
      <c r="A118" s="125">
        <f ca="1" t="shared" si="2"/>
        <v>14.233333333333333</v>
      </c>
      <c r="B118" s="115">
        <v>41255</v>
      </c>
      <c r="C118" s="117" t="s">
        <v>960</v>
      </c>
      <c r="D118" s="91"/>
      <c r="E118" s="122" t="s">
        <v>434</v>
      </c>
      <c r="F118" s="1" t="s">
        <v>460</v>
      </c>
      <c r="G118" s="91" t="s">
        <v>520</v>
      </c>
      <c r="H118" s="91"/>
      <c r="I118" s="171"/>
      <c r="J118" s="171">
        <v>85</v>
      </c>
      <c r="K118" s="171"/>
      <c r="L118" s="171"/>
      <c r="M118" s="171"/>
      <c r="N118" s="171"/>
      <c r="O118" s="171"/>
      <c r="P118" s="179">
        <f ca="1">IF(NFI_Expiration=1,IF($A118&lt;VLOOKUP(H$5,NFI,5,0),1,0)*Table_NFI[[#This Row],[Hygiene Kit]],Table_NFI[[#This Row],[Hygiene Kit]])</f>
        <v>0</v>
      </c>
      <c r="Q118" s="179">
        <f ca="1">IF(NFI_Expiration=1,IF($A118&lt;VLOOKUP(I$5,NFI,5,0),1,0)*Table_NFI[[#This Row],[NFI Core Kit]],Table_NFI[[#This Row],[NFI Core Kit]])</f>
        <v>0</v>
      </c>
      <c r="R118" s="179">
        <f ca="1">IF(NFI_Expiration=1,IF($A118&lt;VLOOKUP(J$5,NFI,5,0),1,0)*Table_NFI[[#This Row],[Sanitary Kit]],Table_NFI[[#This Row],[Sanitary Kit]])</f>
        <v>0</v>
      </c>
      <c r="S118" s="179">
        <f ca="1">IF(NFI_Expiration=1,IF($A118&lt;VLOOKUP(K$5,NFI,5,0),1,0)*Table_NFI[[#This Row],[Mosquitoe net]],Table_NFI[[#This Row],[Mosquitoe net]])</f>
        <v>0</v>
      </c>
      <c r="T118" s="179">
        <f ca="1">IF(NFI_Expiration=1,IF($A118&lt;VLOOKUP(L$5,NFI,5,0),1,0)*Table_NFI[[#This Row],[Tarpaulin]],Table_NFI[[#This Row],[Tarpaulin]])</f>
        <v>0</v>
      </c>
      <c r="U118" s="179">
        <f ca="1">IF(NFI_Expiration=1,IF($A118&lt;VLOOKUP(M$5,NFI,5,0),1,0)*Table_NFI[[#This Row],[Blanket]],Table_NFI[[#This Row],[Blanket]])</f>
        <v>0</v>
      </c>
      <c r="V118" s="179">
        <f ca="1">IF(NFI_Expiration=1,IF($A118&lt;VLOOKUP(N$5,NFI,5,0),1,0)*Table_NFI[[#This Row],[Kitchen Set]],Table_NFI[[#This Row],[Kitchen Set]])</f>
        <v>0</v>
      </c>
      <c r="W118" s="179">
        <f ca="1">IF(NFI_Expiration=1,IF($A118&lt;VLOOKUP(O$5,NFI,5,0),1,0)*Table_NFI[[#This Row],[Complementary Kit]],Table_NFI[[#This Row],[Complementary Kit]])</f>
        <v>0</v>
      </c>
    </row>
    <row r="119" spans="1:23" ht="15">
      <c r="A119" s="125">
        <f ca="1" t="shared" si="2"/>
        <v>14.233333333333333</v>
      </c>
      <c r="B119" s="115">
        <v>41255</v>
      </c>
      <c r="C119" s="117" t="s">
        <v>960</v>
      </c>
      <c r="D119" s="91"/>
      <c r="E119" s="122" t="s">
        <v>434</v>
      </c>
      <c r="F119" s="1" t="s">
        <v>460</v>
      </c>
      <c r="G119" s="91" t="s">
        <v>523</v>
      </c>
      <c r="H119" s="91"/>
      <c r="I119" s="171"/>
      <c r="J119" s="171">
        <v>195</v>
      </c>
      <c r="K119" s="171"/>
      <c r="L119" s="171"/>
      <c r="M119" s="171"/>
      <c r="N119" s="171"/>
      <c r="O119" s="171"/>
      <c r="P119" s="179">
        <f ca="1">IF(NFI_Expiration=1,IF($A119&lt;VLOOKUP(H$5,NFI,5,0),1,0)*Table_NFI[[#This Row],[Hygiene Kit]],Table_NFI[[#This Row],[Hygiene Kit]])</f>
        <v>0</v>
      </c>
      <c r="Q119" s="179">
        <f ca="1">IF(NFI_Expiration=1,IF($A119&lt;VLOOKUP(I$5,NFI,5,0),1,0)*Table_NFI[[#This Row],[NFI Core Kit]],Table_NFI[[#This Row],[NFI Core Kit]])</f>
        <v>0</v>
      </c>
      <c r="R119" s="179">
        <f ca="1">IF(NFI_Expiration=1,IF($A119&lt;VLOOKUP(J$5,NFI,5,0),1,0)*Table_NFI[[#This Row],[Sanitary Kit]],Table_NFI[[#This Row],[Sanitary Kit]])</f>
        <v>0</v>
      </c>
      <c r="S119" s="179">
        <f ca="1">IF(NFI_Expiration=1,IF($A119&lt;VLOOKUP(K$5,NFI,5,0),1,0)*Table_NFI[[#This Row],[Mosquitoe net]],Table_NFI[[#This Row],[Mosquitoe net]])</f>
        <v>0</v>
      </c>
      <c r="T119" s="179">
        <f ca="1">IF(NFI_Expiration=1,IF($A119&lt;VLOOKUP(L$5,NFI,5,0),1,0)*Table_NFI[[#This Row],[Tarpaulin]],Table_NFI[[#This Row],[Tarpaulin]])</f>
        <v>0</v>
      </c>
      <c r="U119" s="179">
        <f ca="1">IF(NFI_Expiration=1,IF($A119&lt;VLOOKUP(M$5,NFI,5,0),1,0)*Table_NFI[[#This Row],[Blanket]],Table_NFI[[#This Row],[Blanket]])</f>
        <v>0</v>
      </c>
      <c r="V119" s="179">
        <f ca="1">IF(NFI_Expiration=1,IF($A119&lt;VLOOKUP(N$5,NFI,5,0),1,0)*Table_NFI[[#This Row],[Kitchen Set]],Table_NFI[[#This Row],[Kitchen Set]])</f>
        <v>0</v>
      </c>
      <c r="W119" s="179">
        <f ca="1">IF(NFI_Expiration=1,IF($A119&lt;VLOOKUP(O$5,NFI,5,0),1,0)*Table_NFI[[#This Row],[Complementary Kit]],Table_NFI[[#This Row],[Complementary Kit]])</f>
        <v>0</v>
      </c>
    </row>
    <row r="120" spans="1:23" ht="15">
      <c r="A120" s="125">
        <f ca="1" t="shared" si="2"/>
        <v>14.233333333333333</v>
      </c>
      <c r="B120" s="115">
        <v>41255</v>
      </c>
      <c r="C120" s="117" t="s">
        <v>960</v>
      </c>
      <c r="D120" s="91"/>
      <c r="E120" s="122" t="s">
        <v>434</v>
      </c>
      <c r="F120" s="1" t="s">
        <v>460</v>
      </c>
      <c r="G120" s="91" t="s">
        <v>521</v>
      </c>
      <c r="H120" s="91"/>
      <c r="I120" s="171"/>
      <c r="J120" s="171">
        <v>53</v>
      </c>
      <c r="K120" s="171"/>
      <c r="L120" s="171"/>
      <c r="M120" s="171"/>
      <c r="N120" s="171"/>
      <c r="O120" s="171"/>
      <c r="P120" s="179">
        <f ca="1">IF(NFI_Expiration=1,IF($A120&lt;VLOOKUP(H$5,NFI,5,0),1,0)*Table_NFI[[#This Row],[Hygiene Kit]],Table_NFI[[#This Row],[Hygiene Kit]])</f>
        <v>0</v>
      </c>
      <c r="Q120" s="179">
        <f ca="1">IF(NFI_Expiration=1,IF($A120&lt;VLOOKUP(I$5,NFI,5,0),1,0)*Table_NFI[[#This Row],[NFI Core Kit]],Table_NFI[[#This Row],[NFI Core Kit]])</f>
        <v>0</v>
      </c>
      <c r="R120" s="179">
        <f ca="1">IF(NFI_Expiration=1,IF($A120&lt;VLOOKUP(J$5,NFI,5,0),1,0)*Table_NFI[[#This Row],[Sanitary Kit]],Table_NFI[[#This Row],[Sanitary Kit]])</f>
        <v>0</v>
      </c>
      <c r="S120" s="179">
        <f ca="1">IF(NFI_Expiration=1,IF($A120&lt;VLOOKUP(K$5,NFI,5,0),1,0)*Table_NFI[[#This Row],[Mosquitoe net]],Table_NFI[[#This Row],[Mosquitoe net]])</f>
        <v>0</v>
      </c>
      <c r="T120" s="179">
        <f ca="1">IF(NFI_Expiration=1,IF($A120&lt;VLOOKUP(L$5,NFI,5,0),1,0)*Table_NFI[[#This Row],[Tarpaulin]],Table_NFI[[#This Row],[Tarpaulin]])</f>
        <v>0</v>
      </c>
      <c r="U120" s="179">
        <f ca="1">IF(NFI_Expiration=1,IF($A120&lt;VLOOKUP(M$5,NFI,5,0),1,0)*Table_NFI[[#This Row],[Blanket]],Table_NFI[[#This Row],[Blanket]])</f>
        <v>0</v>
      </c>
      <c r="V120" s="179">
        <f ca="1">IF(NFI_Expiration=1,IF($A120&lt;VLOOKUP(N$5,NFI,5,0),1,0)*Table_NFI[[#This Row],[Kitchen Set]],Table_NFI[[#This Row],[Kitchen Set]])</f>
        <v>0</v>
      </c>
      <c r="W120" s="179">
        <f ca="1">IF(NFI_Expiration=1,IF($A120&lt;VLOOKUP(O$5,NFI,5,0),1,0)*Table_NFI[[#This Row],[Complementary Kit]],Table_NFI[[#This Row],[Complementary Kit]])</f>
        <v>0</v>
      </c>
    </row>
    <row r="121" spans="1:23" ht="15">
      <c r="A121" s="125">
        <f ca="1" t="shared" si="2"/>
        <v>14.233333333333333</v>
      </c>
      <c r="B121" s="115">
        <v>41255</v>
      </c>
      <c r="C121" s="91" t="s">
        <v>964</v>
      </c>
      <c r="D121" s="91" t="s">
        <v>960</v>
      </c>
      <c r="E121" s="91" t="s">
        <v>434</v>
      </c>
      <c r="F121" s="1" t="s">
        <v>460</v>
      </c>
      <c r="G121" s="91" t="s">
        <v>516</v>
      </c>
      <c r="H121" s="91"/>
      <c r="I121" s="171"/>
      <c r="J121" s="171"/>
      <c r="K121" s="171"/>
      <c r="L121" s="171"/>
      <c r="M121" s="171">
        <v>50</v>
      </c>
      <c r="N121" s="171"/>
      <c r="O121" s="171"/>
      <c r="P121" s="179">
        <f ca="1">IF(NFI_Expiration=1,IF($A121&lt;VLOOKUP(H$5,NFI,5,0),1,0)*Table_NFI[[#This Row],[Hygiene Kit]],Table_NFI[[#This Row],[Hygiene Kit]])</f>
        <v>0</v>
      </c>
      <c r="Q121" s="179">
        <f ca="1">IF(NFI_Expiration=1,IF($A121&lt;VLOOKUP(I$5,NFI,5,0),1,0)*Table_NFI[[#This Row],[NFI Core Kit]],Table_NFI[[#This Row],[NFI Core Kit]])</f>
        <v>0</v>
      </c>
      <c r="R121" s="179">
        <f ca="1">IF(NFI_Expiration=1,IF($A121&lt;VLOOKUP(J$5,NFI,5,0),1,0)*Table_NFI[[#This Row],[Sanitary Kit]],Table_NFI[[#This Row],[Sanitary Kit]])</f>
        <v>0</v>
      </c>
      <c r="S121" s="179">
        <f ca="1">IF(NFI_Expiration=1,IF($A121&lt;VLOOKUP(K$5,NFI,5,0),1,0)*Table_NFI[[#This Row],[Mosquitoe net]],Table_NFI[[#This Row],[Mosquitoe net]])</f>
        <v>0</v>
      </c>
      <c r="T121" s="179">
        <f ca="1">IF(NFI_Expiration=1,IF($A121&lt;VLOOKUP(L$5,NFI,5,0),1,0)*Table_NFI[[#This Row],[Tarpaulin]],Table_NFI[[#This Row],[Tarpaulin]])</f>
        <v>0</v>
      </c>
      <c r="U121" s="179">
        <f ca="1">IF(NFI_Expiration=1,IF($A121&lt;VLOOKUP(M$5,NFI,5,0),1,0)*Table_NFI[[#This Row],[Blanket]],Table_NFI[[#This Row],[Blanket]])</f>
        <v>0</v>
      </c>
      <c r="V121" s="179">
        <f ca="1">IF(NFI_Expiration=1,IF($A121&lt;VLOOKUP(N$5,NFI,5,0),1,0)*Table_NFI[[#This Row],[Kitchen Set]],Table_NFI[[#This Row],[Kitchen Set]])</f>
        <v>0</v>
      </c>
      <c r="W121" s="179">
        <f ca="1">IF(NFI_Expiration=1,IF($A121&lt;VLOOKUP(O$5,NFI,5,0),1,0)*Table_NFI[[#This Row],[Complementary Kit]],Table_NFI[[#This Row],[Complementary Kit]])</f>
        <v>0</v>
      </c>
    </row>
    <row r="122" spans="1:23" ht="15">
      <c r="A122" s="125">
        <f ca="1" t="shared" si="2"/>
        <v>14.466666666666667</v>
      </c>
      <c r="B122" s="115">
        <v>41248</v>
      </c>
      <c r="C122" s="91" t="s">
        <v>964</v>
      </c>
      <c r="D122" s="91" t="s">
        <v>960</v>
      </c>
      <c r="E122" s="91" t="s">
        <v>434</v>
      </c>
      <c r="F122" s="1" t="s">
        <v>460</v>
      </c>
      <c r="G122" s="91" t="s">
        <v>516</v>
      </c>
      <c r="H122" s="91"/>
      <c r="I122" s="171"/>
      <c r="J122" s="171"/>
      <c r="K122" s="171"/>
      <c r="L122" s="171"/>
      <c r="M122" s="171">
        <v>50</v>
      </c>
      <c r="N122" s="171"/>
      <c r="O122" s="171"/>
      <c r="P122" s="179">
        <f ca="1">IF(NFI_Expiration=1,IF($A122&lt;VLOOKUP(H$5,NFI,5,0),1,0)*Table_NFI[[#This Row],[Hygiene Kit]],Table_NFI[[#This Row],[Hygiene Kit]])</f>
        <v>0</v>
      </c>
      <c r="Q122" s="179">
        <f ca="1">IF(NFI_Expiration=1,IF($A122&lt;VLOOKUP(I$5,NFI,5,0),1,0)*Table_NFI[[#This Row],[NFI Core Kit]],Table_NFI[[#This Row],[NFI Core Kit]])</f>
        <v>0</v>
      </c>
      <c r="R122" s="179">
        <f ca="1">IF(NFI_Expiration=1,IF($A122&lt;VLOOKUP(J$5,NFI,5,0),1,0)*Table_NFI[[#This Row],[Sanitary Kit]],Table_NFI[[#This Row],[Sanitary Kit]])</f>
        <v>0</v>
      </c>
      <c r="S122" s="179">
        <f ca="1">IF(NFI_Expiration=1,IF($A122&lt;VLOOKUP(K$5,NFI,5,0),1,0)*Table_NFI[[#This Row],[Mosquitoe net]],Table_NFI[[#This Row],[Mosquitoe net]])</f>
        <v>0</v>
      </c>
      <c r="T122" s="179">
        <f ca="1">IF(NFI_Expiration=1,IF($A122&lt;VLOOKUP(L$5,NFI,5,0),1,0)*Table_NFI[[#This Row],[Tarpaulin]],Table_NFI[[#This Row],[Tarpaulin]])</f>
        <v>0</v>
      </c>
      <c r="U122" s="179">
        <f ca="1">IF(NFI_Expiration=1,IF($A122&lt;VLOOKUP(M$5,NFI,5,0),1,0)*Table_NFI[[#This Row],[Blanket]],Table_NFI[[#This Row],[Blanket]])</f>
        <v>0</v>
      </c>
      <c r="V122" s="179">
        <f ca="1">IF(NFI_Expiration=1,IF($A122&lt;VLOOKUP(N$5,NFI,5,0),1,0)*Table_NFI[[#This Row],[Kitchen Set]],Table_NFI[[#This Row],[Kitchen Set]])</f>
        <v>0</v>
      </c>
      <c r="W122" s="179">
        <f ca="1">IF(NFI_Expiration=1,IF($A122&lt;VLOOKUP(O$5,NFI,5,0),1,0)*Table_NFI[[#This Row],[Complementary Kit]],Table_NFI[[#This Row],[Complementary Kit]])</f>
        <v>0</v>
      </c>
    </row>
    <row r="123" spans="1:23" ht="15">
      <c r="A123" s="125">
        <f ca="1" t="shared" si="2"/>
        <v>14.533333333333333</v>
      </c>
      <c r="B123" s="115">
        <v>41246</v>
      </c>
      <c r="C123" s="91" t="s">
        <v>964</v>
      </c>
      <c r="D123" s="91" t="s">
        <v>960</v>
      </c>
      <c r="E123" s="91" t="s">
        <v>434</v>
      </c>
      <c r="F123" s="1" t="s">
        <v>460</v>
      </c>
      <c r="G123" s="91" t="s">
        <v>515</v>
      </c>
      <c r="H123" s="91"/>
      <c r="I123" s="171"/>
      <c r="J123" s="171"/>
      <c r="K123" s="171"/>
      <c r="L123" s="171"/>
      <c r="M123" s="171">
        <v>92</v>
      </c>
      <c r="N123" s="171"/>
      <c r="O123" s="171"/>
      <c r="P123" s="179">
        <f ca="1">IF(NFI_Expiration=1,IF($A123&lt;VLOOKUP(H$5,NFI,5,0),1,0)*Table_NFI[[#This Row],[Hygiene Kit]],Table_NFI[[#This Row],[Hygiene Kit]])</f>
        <v>0</v>
      </c>
      <c r="Q123" s="179">
        <f ca="1">IF(NFI_Expiration=1,IF($A123&lt;VLOOKUP(I$5,NFI,5,0),1,0)*Table_NFI[[#This Row],[NFI Core Kit]],Table_NFI[[#This Row],[NFI Core Kit]])</f>
        <v>0</v>
      </c>
      <c r="R123" s="179">
        <f ca="1">IF(NFI_Expiration=1,IF($A123&lt;VLOOKUP(J$5,NFI,5,0),1,0)*Table_NFI[[#This Row],[Sanitary Kit]],Table_NFI[[#This Row],[Sanitary Kit]])</f>
        <v>0</v>
      </c>
      <c r="S123" s="179">
        <f ca="1">IF(NFI_Expiration=1,IF($A123&lt;VLOOKUP(K$5,NFI,5,0),1,0)*Table_NFI[[#This Row],[Mosquitoe net]],Table_NFI[[#This Row],[Mosquitoe net]])</f>
        <v>0</v>
      </c>
      <c r="T123" s="179">
        <f ca="1">IF(NFI_Expiration=1,IF($A123&lt;VLOOKUP(L$5,NFI,5,0),1,0)*Table_NFI[[#This Row],[Tarpaulin]],Table_NFI[[#This Row],[Tarpaulin]])</f>
        <v>0</v>
      </c>
      <c r="U123" s="179">
        <f ca="1">IF(NFI_Expiration=1,IF($A123&lt;VLOOKUP(M$5,NFI,5,0),1,0)*Table_NFI[[#This Row],[Blanket]],Table_NFI[[#This Row],[Blanket]])</f>
        <v>0</v>
      </c>
      <c r="V123" s="179">
        <f ca="1">IF(NFI_Expiration=1,IF($A123&lt;VLOOKUP(N$5,NFI,5,0),1,0)*Table_NFI[[#This Row],[Kitchen Set]],Table_NFI[[#This Row],[Kitchen Set]])</f>
        <v>0</v>
      </c>
      <c r="W123" s="179">
        <f ca="1">IF(NFI_Expiration=1,IF($A123&lt;VLOOKUP(O$5,NFI,5,0),1,0)*Table_NFI[[#This Row],[Complementary Kit]],Table_NFI[[#This Row],[Complementary Kit]])</f>
        <v>0</v>
      </c>
    </row>
    <row r="124" spans="1:23" ht="15">
      <c r="A124" s="125">
        <f ca="1" t="shared" si="2"/>
        <v>14.633333333333333</v>
      </c>
      <c r="B124" s="115">
        <v>41243</v>
      </c>
      <c r="C124" s="91" t="s">
        <v>964</v>
      </c>
      <c r="D124" s="91" t="s">
        <v>960</v>
      </c>
      <c r="E124" s="91" t="s">
        <v>434</v>
      </c>
      <c r="F124" s="1" t="s">
        <v>460</v>
      </c>
      <c r="G124" s="91" t="s">
        <v>515</v>
      </c>
      <c r="H124" s="91"/>
      <c r="I124" s="171"/>
      <c r="J124" s="171"/>
      <c r="K124" s="171"/>
      <c r="L124" s="171"/>
      <c r="M124" s="171">
        <v>100</v>
      </c>
      <c r="N124" s="171"/>
      <c r="O124" s="171"/>
      <c r="P124" s="179">
        <f ca="1">IF(NFI_Expiration=1,IF($A124&lt;VLOOKUP(H$5,NFI,5,0),1,0)*Table_NFI[[#This Row],[Hygiene Kit]],Table_NFI[[#This Row],[Hygiene Kit]])</f>
        <v>0</v>
      </c>
      <c r="Q124" s="179">
        <f ca="1">IF(NFI_Expiration=1,IF($A124&lt;VLOOKUP(I$5,NFI,5,0),1,0)*Table_NFI[[#This Row],[NFI Core Kit]],Table_NFI[[#This Row],[NFI Core Kit]])</f>
        <v>0</v>
      </c>
      <c r="R124" s="179">
        <f ca="1">IF(NFI_Expiration=1,IF($A124&lt;VLOOKUP(J$5,NFI,5,0),1,0)*Table_NFI[[#This Row],[Sanitary Kit]],Table_NFI[[#This Row],[Sanitary Kit]])</f>
        <v>0</v>
      </c>
      <c r="S124" s="179">
        <f ca="1">IF(NFI_Expiration=1,IF($A124&lt;VLOOKUP(K$5,NFI,5,0),1,0)*Table_NFI[[#This Row],[Mosquitoe net]],Table_NFI[[#This Row],[Mosquitoe net]])</f>
        <v>0</v>
      </c>
      <c r="T124" s="179">
        <f ca="1">IF(NFI_Expiration=1,IF($A124&lt;VLOOKUP(L$5,NFI,5,0),1,0)*Table_NFI[[#This Row],[Tarpaulin]],Table_NFI[[#This Row],[Tarpaulin]])</f>
        <v>0</v>
      </c>
      <c r="U124" s="179">
        <f ca="1">IF(NFI_Expiration=1,IF($A124&lt;VLOOKUP(M$5,NFI,5,0),1,0)*Table_NFI[[#This Row],[Blanket]],Table_NFI[[#This Row],[Blanket]])</f>
        <v>0</v>
      </c>
      <c r="V124" s="179">
        <f ca="1">IF(NFI_Expiration=1,IF($A124&lt;VLOOKUP(N$5,NFI,5,0),1,0)*Table_NFI[[#This Row],[Kitchen Set]],Table_NFI[[#This Row],[Kitchen Set]])</f>
        <v>0</v>
      </c>
      <c r="W124" s="179">
        <f ca="1">IF(NFI_Expiration=1,IF($A124&lt;VLOOKUP(O$5,NFI,5,0),1,0)*Table_NFI[[#This Row],[Complementary Kit]],Table_NFI[[#This Row],[Complementary Kit]])</f>
        <v>0</v>
      </c>
    </row>
    <row r="125" spans="1:23" ht="15">
      <c r="A125" s="125">
        <f ca="1" t="shared" si="2"/>
        <v>14.633333333333333</v>
      </c>
      <c r="B125" s="115">
        <v>41243</v>
      </c>
      <c r="C125" s="91" t="s">
        <v>960</v>
      </c>
      <c r="D125" s="91"/>
      <c r="E125" s="91" t="s">
        <v>434</v>
      </c>
      <c r="F125" s="1" t="s">
        <v>454</v>
      </c>
      <c r="G125" s="91" t="s">
        <v>481</v>
      </c>
      <c r="H125" s="91"/>
      <c r="I125" s="171"/>
      <c r="J125" s="171"/>
      <c r="K125" s="171"/>
      <c r="L125" s="172">
        <v>232</v>
      </c>
      <c r="M125" s="171"/>
      <c r="N125" s="171"/>
      <c r="O125" s="171"/>
      <c r="P125" s="179">
        <f ca="1">IF(NFI_Expiration=1,IF($A125&lt;VLOOKUP(H$5,NFI,5,0),1,0)*Table_NFI[[#This Row],[Hygiene Kit]],Table_NFI[[#This Row],[Hygiene Kit]])</f>
        <v>0</v>
      </c>
      <c r="Q125" s="179">
        <f ca="1">IF(NFI_Expiration=1,IF($A125&lt;VLOOKUP(I$5,NFI,5,0),1,0)*Table_NFI[[#This Row],[NFI Core Kit]],Table_NFI[[#This Row],[NFI Core Kit]])</f>
        <v>0</v>
      </c>
      <c r="R125" s="179">
        <f ca="1">IF(NFI_Expiration=1,IF($A125&lt;VLOOKUP(J$5,NFI,5,0),1,0)*Table_NFI[[#This Row],[Sanitary Kit]],Table_NFI[[#This Row],[Sanitary Kit]])</f>
        <v>0</v>
      </c>
      <c r="S125" s="179">
        <f ca="1">IF(NFI_Expiration=1,IF($A125&lt;VLOOKUP(K$5,NFI,5,0),1,0)*Table_NFI[[#This Row],[Mosquitoe net]],Table_NFI[[#This Row],[Mosquitoe net]])</f>
        <v>0</v>
      </c>
      <c r="T125" s="179">
        <f ca="1">IF(NFI_Expiration=1,IF($A125&lt;VLOOKUP(L$5,NFI,5,0),1,0)*Table_NFI[[#This Row],[Tarpaulin]],Table_NFI[[#This Row],[Tarpaulin]])</f>
        <v>0</v>
      </c>
      <c r="U125" s="179">
        <f ca="1">IF(NFI_Expiration=1,IF($A125&lt;VLOOKUP(M$5,NFI,5,0),1,0)*Table_NFI[[#This Row],[Blanket]],Table_NFI[[#This Row],[Blanket]])</f>
        <v>0</v>
      </c>
      <c r="V125" s="179">
        <f ca="1">IF(NFI_Expiration=1,IF($A125&lt;VLOOKUP(N$5,NFI,5,0),1,0)*Table_NFI[[#This Row],[Kitchen Set]],Table_NFI[[#This Row],[Kitchen Set]])</f>
        <v>0</v>
      </c>
      <c r="W125" s="179">
        <f ca="1">IF(NFI_Expiration=1,IF($A125&lt;VLOOKUP(O$5,NFI,5,0),1,0)*Table_NFI[[#This Row],[Complementary Kit]],Table_NFI[[#This Row],[Complementary Kit]])</f>
        <v>0</v>
      </c>
    </row>
    <row r="126" spans="1:23" ht="15">
      <c r="A126" s="125">
        <f ca="1" t="shared" si="2"/>
        <v>14.633333333333333</v>
      </c>
      <c r="B126" s="115">
        <v>41243</v>
      </c>
      <c r="C126" s="91" t="s">
        <v>960</v>
      </c>
      <c r="D126" s="91"/>
      <c r="E126" s="91" t="s">
        <v>434</v>
      </c>
      <c r="F126" s="1" t="s">
        <v>454</v>
      </c>
      <c r="G126" s="91" t="s">
        <v>480</v>
      </c>
      <c r="H126" s="91"/>
      <c r="I126" s="171"/>
      <c r="J126" s="171"/>
      <c r="K126" s="171"/>
      <c r="L126" s="172">
        <v>44</v>
      </c>
      <c r="M126" s="171"/>
      <c r="N126" s="171"/>
      <c r="O126" s="171"/>
      <c r="P126" s="179">
        <f ca="1">IF(NFI_Expiration=1,IF($A126&lt;VLOOKUP(H$5,NFI,5,0),1,0)*Table_NFI[[#This Row],[Hygiene Kit]],Table_NFI[[#This Row],[Hygiene Kit]])</f>
        <v>0</v>
      </c>
      <c r="Q126" s="179">
        <f ca="1">IF(NFI_Expiration=1,IF($A126&lt;VLOOKUP(I$5,NFI,5,0),1,0)*Table_NFI[[#This Row],[NFI Core Kit]],Table_NFI[[#This Row],[NFI Core Kit]])</f>
        <v>0</v>
      </c>
      <c r="R126" s="179">
        <f ca="1">IF(NFI_Expiration=1,IF($A126&lt;VLOOKUP(J$5,NFI,5,0),1,0)*Table_NFI[[#This Row],[Sanitary Kit]],Table_NFI[[#This Row],[Sanitary Kit]])</f>
        <v>0</v>
      </c>
      <c r="S126" s="179">
        <f ca="1">IF(NFI_Expiration=1,IF($A126&lt;VLOOKUP(K$5,NFI,5,0),1,0)*Table_NFI[[#This Row],[Mosquitoe net]],Table_NFI[[#This Row],[Mosquitoe net]])</f>
        <v>0</v>
      </c>
      <c r="T126" s="179">
        <f ca="1">IF(NFI_Expiration=1,IF($A126&lt;VLOOKUP(L$5,NFI,5,0),1,0)*Table_NFI[[#This Row],[Tarpaulin]],Table_NFI[[#This Row],[Tarpaulin]])</f>
        <v>0</v>
      </c>
      <c r="U126" s="179">
        <f ca="1">IF(NFI_Expiration=1,IF($A126&lt;VLOOKUP(M$5,NFI,5,0),1,0)*Table_NFI[[#This Row],[Blanket]],Table_NFI[[#This Row],[Blanket]])</f>
        <v>0</v>
      </c>
      <c r="V126" s="179">
        <f ca="1">IF(NFI_Expiration=1,IF($A126&lt;VLOOKUP(N$5,NFI,5,0),1,0)*Table_NFI[[#This Row],[Kitchen Set]],Table_NFI[[#This Row],[Kitchen Set]])</f>
        <v>0</v>
      </c>
      <c r="W126" s="179">
        <f ca="1">IF(NFI_Expiration=1,IF($A126&lt;VLOOKUP(O$5,NFI,5,0),1,0)*Table_NFI[[#This Row],[Complementary Kit]],Table_NFI[[#This Row],[Complementary Kit]])</f>
        <v>0</v>
      </c>
    </row>
    <row r="127" spans="1:23" ht="15">
      <c r="A127" s="125">
        <f ca="1" t="shared" si="2"/>
        <v>14.633333333333333</v>
      </c>
      <c r="B127" s="115">
        <v>41243</v>
      </c>
      <c r="C127" s="91" t="s">
        <v>960</v>
      </c>
      <c r="D127" s="91"/>
      <c r="E127" s="91" t="s">
        <v>434</v>
      </c>
      <c r="F127" s="1" t="s">
        <v>460</v>
      </c>
      <c r="G127" s="91" t="s">
        <v>518</v>
      </c>
      <c r="H127" s="91"/>
      <c r="I127" s="171"/>
      <c r="J127" s="171"/>
      <c r="K127" s="171"/>
      <c r="L127" s="172">
        <v>130</v>
      </c>
      <c r="M127" s="171"/>
      <c r="N127" s="171"/>
      <c r="O127" s="171"/>
      <c r="P127" s="179">
        <f ca="1">IF(NFI_Expiration=1,IF($A127&lt;VLOOKUP(H$5,NFI,5,0),1,0)*Table_NFI[[#This Row],[Hygiene Kit]],Table_NFI[[#This Row],[Hygiene Kit]])</f>
        <v>0</v>
      </c>
      <c r="Q127" s="179">
        <f ca="1">IF(NFI_Expiration=1,IF($A127&lt;VLOOKUP(I$5,NFI,5,0),1,0)*Table_NFI[[#This Row],[NFI Core Kit]],Table_NFI[[#This Row],[NFI Core Kit]])</f>
        <v>0</v>
      </c>
      <c r="R127" s="179">
        <f ca="1">IF(NFI_Expiration=1,IF($A127&lt;VLOOKUP(J$5,NFI,5,0),1,0)*Table_NFI[[#This Row],[Sanitary Kit]],Table_NFI[[#This Row],[Sanitary Kit]])</f>
        <v>0</v>
      </c>
      <c r="S127" s="179">
        <f ca="1">IF(NFI_Expiration=1,IF($A127&lt;VLOOKUP(K$5,NFI,5,0),1,0)*Table_NFI[[#This Row],[Mosquitoe net]],Table_NFI[[#This Row],[Mosquitoe net]])</f>
        <v>0</v>
      </c>
      <c r="T127" s="179">
        <f ca="1">IF(NFI_Expiration=1,IF($A127&lt;VLOOKUP(L$5,NFI,5,0),1,0)*Table_NFI[[#This Row],[Tarpaulin]],Table_NFI[[#This Row],[Tarpaulin]])</f>
        <v>0</v>
      </c>
      <c r="U127" s="179">
        <f ca="1">IF(NFI_Expiration=1,IF($A127&lt;VLOOKUP(M$5,NFI,5,0),1,0)*Table_NFI[[#This Row],[Blanket]],Table_NFI[[#This Row],[Blanket]])</f>
        <v>0</v>
      </c>
      <c r="V127" s="179">
        <f ca="1">IF(NFI_Expiration=1,IF($A127&lt;VLOOKUP(N$5,NFI,5,0),1,0)*Table_NFI[[#This Row],[Kitchen Set]],Table_NFI[[#This Row],[Kitchen Set]])</f>
        <v>0</v>
      </c>
      <c r="W127" s="179">
        <f ca="1">IF(NFI_Expiration=1,IF($A127&lt;VLOOKUP(O$5,NFI,5,0),1,0)*Table_NFI[[#This Row],[Complementary Kit]],Table_NFI[[#This Row],[Complementary Kit]])</f>
        <v>0</v>
      </c>
    </row>
    <row r="128" spans="1:23" ht="15">
      <c r="A128" s="125">
        <f ca="1" t="shared" si="2"/>
        <v>14.633333333333333</v>
      </c>
      <c r="B128" s="115">
        <v>41243</v>
      </c>
      <c r="C128" s="91" t="s">
        <v>960</v>
      </c>
      <c r="D128" s="91"/>
      <c r="E128" s="91" t="s">
        <v>434</v>
      </c>
      <c r="F128" s="1" t="s">
        <v>460</v>
      </c>
      <c r="G128" s="91" t="s">
        <v>517</v>
      </c>
      <c r="H128" s="91"/>
      <c r="I128" s="171"/>
      <c r="J128" s="171"/>
      <c r="K128" s="171"/>
      <c r="L128" s="172">
        <v>822</v>
      </c>
      <c r="M128" s="171"/>
      <c r="N128" s="171"/>
      <c r="O128" s="171"/>
      <c r="P128" s="179">
        <f ca="1">IF(NFI_Expiration=1,IF($A128&lt;VLOOKUP(H$5,NFI,5,0),1,0)*Table_NFI[[#This Row],[Hygiene Kit]],Table_NFI[[#This Row],[Hygiene Kit]])</f>
        <v>0</v>
      </c>
      <c r="Q128" s="179">
        <f ca="1">IF(NFI_Expiration=1,IF($A128&lt;VLOOKUP(I$5,NFI,5,0),1,0)*Table_NFI[[#This Row],[NFI Core Kit]],Table_NFI[[#This Row],[NFI Core Kit]])</f>
        <v>0</v>
      </c>
      <c r="R128" s="179">
        <f ca="1">IF(NFI_Expiration=1,IF($A128&lt;VLOOKUP(J$5,NFI,5,0),1,0)*Table_NFI[[#This Row],[Sanitary Kit]],Table_NFI[[#This Row],[Sanitary Kit]])</f>
        <v>0</v>
      </c>
      <c r="S128" s="179">
        <f ca="1">IF(NFI_Expiration=1,IF($A128&lt;VLOOKUP(K$5,NFI,5,0),1,0)*Table_NFI[[#This Row],[Mosquitoe net]],Table_NFI[[#This Row],[Mosquitoe net]])</f>
        <v>0</v>
      </c>
      <c r="T128" s="179">
        <f ca="1">IF(NFI_Expiration=1,IF($A128&lt;VLOOKUP(L$5,NFI,5,0),1,0)*Table_NFI[[#This Row],[Tarpaulin]],Table_NFI[[#This Row],[Tarpaulin]])</f>
        <v>0</v>
      </c>
      <c r="U128" s="179">
        <f ca="1">IF(NFI_Expiration=1,IF($A128&lt;VLOOKUP(M$5,NFI,5,0),1,0)*Table_NFI[[#This Row],[Blanket]],Table_NFI[[#This Row],[Blanket]])</f>
        <v>0</v>
      </c>
      <c r="V128" s="179">
        <f ca="1">IF(NFI_Expiration=1,IF($A128&lt;VLOOKUP(N$5,NFI,5,0),1,0)*Table_NFI[[#This Row],[Kitchen Set]],Table_NFI[[#This Row],[Kitchen Set]])</f>
        <v>0</v>
      </c>
      <c r="W128" s="179">
        <f ca="1">IF(NFI_Expiration=1,IF($A128&lt;VLOOKUP(O$5,NFI,5,0),1,0)*Table_NFI[[#This Row],[Complementary Kit]],Table_NFI[[#This Row],[Complementary Kit]])</f>
        <v>0</v>
      </c>
    </row>
    <row r="129" spans="1:23" ht="15">
      <c r="A129" s="125">
        <f aca="true" t="shared" si="3" ref="A129:A192">IF(ISBLANK(B129),"",(TODAY()-B129)/30)</f>
        <v>14.633333333333333</v>
      </c>
      <c r="B129" s="115">
        <v>41243</v>
      </c>
      <c r="C129" s="91" t="s">
        <v>960</v>
      </c>
      <c r="D129" s="91"/>
      <c r="E129" s="91" t="s">
        <v>434</v>
      </c>
      <c r="F129" s="1" t="s">
        <v>460</v>
      </c>
      <c r="G129" s="91" t="s">
        <v>518</v>
      </c>
      <c r="H129" s="91"/>
      <c r="I129" s="171"/>
      <c r="J129" s="171"/>
      <c r="K129" s="171"/>
      <c r="L129" s="172">
        <v>314</v>
      </c>
      <c r="M129" s="171"/>
      <c r="N129" s="171"/>
      <c r="O129" s="171"/>
      <c r="P129" s="179">
        <f ca="1">IF(NFI_Expiration=1,IF($A129&lt;VLOOKUP(H$5,NFI,5,0),1,0)*Table_NFI[[#This Row],[Hygiene Kit]],Table_NFI[[#This Row],[Hygiene Kit]])</f>
        <v>0</v>
      </c>
      <c r="Q129" s="179">
        <f ca="1">IF(NFI_Expiration=1,IF($A129&lt;VLOOKUP(I$5,NFI,5,0),1,0)*Table_NFI[[#This Row],[NFI Core Kit]],Table_NFI[[#This Row],[NFI Core Kit]])</f>
        <v>0</v>
      </c>
      <c r="R129" s="179">
        <f ca="1">IF(NFI_Expiration=1,IF($A129&lt;VLOOKUP(J$5,NFI,5,0),1,0)*Table_NFI[[#This Row],[Sanitary Kit]],Table_NFI[[#This Row],[Sanitary Kit]])</f>
        <v>0</v>
      </c>
      <c r="S129" s="179">
        <f ca="1">IF(NFI_Expiration=1,IF($A129&lt;VLOOKUP(K$5,NFI,5,0),1,0)*Table_NFI[[#This Row],[Mosquitoe net]],Table_NFI[[#This Row],[Mosquitoe net]])</f>
        <v>0</v>
      </c>
      <c r="T129" s="179">
        <f ca="1">IF(NFI_Expiration=1,IF($A129&lt;VLOOKUP(L$5,NFI,5,0),1,0)*Table_NFI[[#This Row],[Tarpaulin]],Table_NFI[[#This Row],[Tarpaulin]])</f>
        <v>0</v>
      </c>
      <c r="U129" s="179">
        <f ca="1">IF(NFI_Expiration=1,IF($A129&lt;VLOOKUP(M$5,NFI,5,0),1,0)*Table_NFI[[#This Row],[Blanket]],Table_NFI[[#This Row],[Blanket]])</f>
        <v>0</v>
      </c>
      <c r="V129" s="179">
        <f ca="1">IF(NFI_Expiration=1,IF($A129&lt;VLOOKUP(N$5,NFI,5,0),1,0)*Table_NFI[[#This Row],[Kitchen Set]],Table_NFI[[#This Row],[Kitchen Set]])</f>
        <v>0</v>
      </c>
      <c r="W129" s="179">
        <f ca="1">IF(NFI_Expiration=1,IF($A129&lt;VLOOKUP(O$5,NFI,5,0),1,0)*Table_NFI[[#This Row],[Complementary Kit]],Table_NFI[[#This Row],[Complementary Kit]])</f>
        <v>0</v>
      </c>
    </row>
    <row r="130" spans="1:23" ht="15">
      <c r="A130" s="125">
        <f ca="1" t="shared" si="3"/>
        <v>14.633333333333333</v>
      </c>
      <c r="B130" s="115">
        <v>41243</v>
      </c>
      <c r="C130" s="91" t="s">
        <v>960</v>
      </c>
      <c r="D130" s="91"/>
      <c r="E130" s="91" t="s">
        <v>434</v>
      </c>
      <c r="F130" s="1" t="s">
        <v>452</v>
      </c>
      <c r="G130" s="91" t="s">
        <v>473</v>
      </c>
      <c r="H130" s="91"/>
      <c r="I130" s="171"/>
      <c r="J130" s="171"/>
      <c r="K130" s="171"/>
      <c r="L130" s="172">
        <v>46</v>
      </c>
      <c r="M130" s="171"/>
      <c r="N130" s="171"/>
      <c r="O130" s="171"/>
      <c r="P130" s="179">
        <f ca="1">IF(NFI_Expiration=1,IF($A130&lt;VLOOKUP(H$5,NFI,5,0),1,0)*Table_NFI[[#This Row],[Hygiene Kit]],Table_NFI[[#This Row],[Hygiene Kit]])</f>
        <v>0</v>
      </c>
      <c r="Q130" s="179">
        <f ca="1">IF(NFI_Expiration=1,IF($A130&lt;VLOOKUP(I$5,NFI,5,0),1,0)*Table_NFI[[#This Row],[NFI Core Kit]],Table_NFI[[#This Row],[NFI Core Kit]])</f>
        <v>0</v>
      </c>
      <c r="R130" s="179">
        <f ca="1">IF(NFI_Expiration=1,IF($A130&lt;VLOOKUP(J$5,NFI,5,0),1,0)*Table_NFI[[#This Row],[Sanitary Kit]],Table_NFI[[#This Row],[Sanitary Kit]])</f>
        <v>0</v>
      </c>
      <c r="S130" s="179">
        <f ca="1">IF(NFI_Expiration=1,IF($A130&lt;VLOOKUP(K$5,NFI,5,0),1,0)*Table_NFI[[#This Row],[Mosquitoe net]],Table_NFI[[#This Row],[Mosquitoe net]])</f>
        <v>0</v>
      </c>
      <c r="T130" s="179">
        <f ca="1">IF(NFI_Expiration=1,IF($A130&lt;VLOOKUP(L$5,NFI,5,0),1,0)*Table_NFI[[#This Row],[Tarpaulin]],Table_NFI[[#This Row],[Tarpaulin]])</f>
        <v>0</v>
      </c>
      <c r="U130" s="179">
        <f ca="1">IF(NFI_Expiration=1,IF($A130&lt;VLOOKUP(M$5,NFI,5,0),1,0)*Table_NFI[[#This Row],[Blanket]],Table_NFI[[#This Row],[Blanket]])</f>
        <v>0</v>
      </c>
      <c r="V130" s="179">
        <f ca="1">IF(NFI_Expiration=1,IF($A130&lt;VLOOKUP(N$5,NFI,5,0),1,0)*Table_NFI[[#This Row],[Kitchen Set]],Table_NFI[[#This Row],[Kitchen Set]])</f>
        <v>0</v>
      </c>
      <c r="W130" s="179">
        <f ca="1">IF(NFI_Expiration=1,IF($A130&lt;VLOOKUP(O$5,NFI,5,0),1,0)*Table_NFI[[#This Row],[Complementary Kit]],Table_NFI[[#This Row],[Complementary Kit]])</f>
        <v>0</v>
      </c>
    </row>
    <row r="131" spans="1:23" ht="15">
      <c r="A131" s="125">
        <f ca="1" t="shared" si="3"/>
        <v>14.933333333333334</v>
      </c>
      <c r="B131" s="115">
        <v>41234</v>
      </c>
      <c r="C131" s="91" t="s">
        <v>960</v>
      </c>
      <c r="D131" s="91"/>
      <c r="E131" s="91" t="s">
        <v>434</v>
      </c>
      <c r="F131" s="1" t="s">
        <v>452</v>
      </c>
      <c r="G131" s="91" t="s">
        <v>469</v>
      </c>
      <c r="H131" s="91"/>
      <c r="I131" s="171"/>
      <c r="J131" s="171"/>
      <c r="K131" s="171"/>
      <c r="L131" s="172">
        <v>145</v>
      </c>
      <c r="M131" s="171"/>
      <c r="N131" s="171"/>
      <c r="O131" s="171"/>
      <c r="P131" s="179">
        <f ca="1">IF(NFI_Expiration=1,IF($A131&lt;VLOOKUP(H$5,NFI,5,0),1,0)*Table_NFI[[#This Row],[Hygiene Kit]],Table_NFI[[#This Row],[Hygiene Kit]])</f>
        <v>0</v>
      </c>
      <c r="Q131" s="179">
        <f ca="1">IF(NFI_Expiration=1,IF($A131&lt;VLOOKUP(I$5,NFI,5,0),1,0)*Table_NFI[[#This Row],[NFI Core Kit]],Table_NFI[[#This Row],[NFI Core Kit]])</f>
        <v>0</v>
      </c>
      <c r="R131" s="179">
        <f ca="1">IF(NFI_Expiration=1,IF($A131&lt;VLOOKUP(J$5,NFI,5,0),1,0)*Table_NFI[[#This Row],[Sanitary Kit]],Table_NFI[[#This Row],[Sanitary Kit]])</f>
        <v>0</v>
      </c>
      <c r="S131" s="179">
        <f ca="1">IF(NFI_Expiration=1,IF($A131&lt;VLOOKUP(K$5,NFI,5,0),1,0)*Table_NFI[[#This Row],[Mosquitoe net]],Table_NFI[[#This Row],[Mosquitoe net]])</f>
        <v>0</v>
      </c>
      <c r="T131" s="179">
        <f ca="1">IF(NFI_Expiration=1,IF($A131&lt;VLOOKUP(L$5,NFI,5,0),1,0)*Table_NFI[[#This Row],[Tarpaulin]],Table_NFI[[#This Row],[Tarpaulin]])</f>
        <v>0</v>
      </c>
      <c r="U131" s="179">
        <f ca="1">IF(NFI_Expiration=1,IF($A131&lt;VLOOKUP(M$5,NFI,5,0),1,0)*Table_NFI[[#This Row],[Blanket]],Table_NFI[[#This Row],[Blanket]])</f>
        <v>0</v>
      </c>
      <c r="V131" s="179">
        <f ca="1">IF(NFI_Expiration=1,IF($A131&lt;VLOOKUP(N$5,NFI,5,0),1,0)*Table_NFI[[#This Row],[Kitchen Set]],Table_NFI[[#This Row],[Kitchen Set]])</f>
        <v>0</v>
      </c>
      <c r="W131" s="179">
        <f ca="1">IF(NFI_Expiration=1,IF($A131&lt;VLOOKUP(O$5,NFI,5,0),1,0)*Table_NFI[[#This Row],[Complementary Kit]],Table_NFI[[#This Row],[Complementary Kit]])</f>
        <v>0</v>
      </c>
    </row>
    <row r="132" spans="1:23" ht="15">
      <c r="A132" s="125">
        <f ca="1" t="shared" si="3"/>
        <v>14.933333333333334</v>
      </c>
      <c r="B132" s="115">
        <v>41234</v>
      </c>
      <c r="C132" s="91" t="s">
        <v>960</v>
      </c>
      <c r="D132" s="91"/>
      <c r="E132" s="91" t="s">
        <v>434</v>
      </c>
      <c r="F132" s="1" t="s">
        <v>452</v>
      </c>
      <c r="G132" s="91" t="s">
        <v>470</v>
      </c>
      <c r="H132" s="91"/>
      <c r="I132" s="171"/>
      <c r="J132" s="171"/>
      <c r="K132" s="171"/>
      <c r="L132" s="172">
        <v>10</v>
      </c>
      <c r="M132" s="171"/>
      <c r="N132" s="171"/>
      <c r="O132" s="171"/>
      <c r="P132" s="179">
        <f ca="1">IF(NFI_Expiration=1,IF($A132&lt;VLOOKUP(H$5,NFI,5,0),1,0)*Table_NFI[[#This Row],[Hygiene Kit]],Table_NFI[[#This Row],[Hygiene Kit]])</f>
        <v>0</v>
      </c>
      <c r="Q132" s="179">
        <f ca="1">IF(NFI_Expiration=1,IF($A132&lt;VLOOKUP(I$5,NFI,5,0),1,0)*Table_NFI[[#This Row],[NFI Core Kit]],Table_NFI[[#This Row],[NFI Core Kit]])</f>
        <v>0</v>
      </c>
      <c r="R132" s="179">
        <f ca="1">IF(NFI_Expiration=1,IF($A132&lt;VLOOKUP(J$5,NFI,5,0),1,0)*Table_NFI[[#This Row],[Sanitary Kit]],Table_NFI[[#This Row],[Sanitary Kit]])</f>
        <v>0</v>
      </c>
      <c r="S132" s="179">
        <f ca="1">IF(NFI_Expiration=1,IF($A132&lt;VLOOKUP(K$5,NFI,5,0),1,0)*Table_NFI[[#This Row],[Mosquitoe net]],Table_NFI[[#This Row],[Mosquitoe net]])</f>
        <v>0</v>
      </c>
      <c r="T132" s="179">
        <f ca="1">IF(NFI_Expiration=1,IF($A132&lt;VLOOKUP(L$5,NFI,5,0),1,0)*Table_NFI[[#This Row],[Tarpaulin]],Table_NFI[[#This Row],[Tarpaulin]])</f>
        <v>0</v>
      </c>
      <c r="U132" s="179">
        <f ca="1">IF(NFI_Expiration=1,IF($A132&lt;VLOOKUP(M$5,NFI,5,0),1,0)*Table_NFI[[#This Row],[Blanket]],Table_NFI[[#This Row],[Blanket]])</f>
        <v>0</v>
      </c>
      <c r="V132" s="179">
        <f ca="1">IF(NFI_Expiration=1,IF($A132&lt;VLOOKUP(N$5,NFI,5,0),1,0)*Table_NFI[[#This Row],[Kitchen Set]],Table_NFI[[#This Row],[Kitchen Set]])</f>
        <v>0</v>
      </c>
      <c r="W132" s="179">
        <f ca="1">IF(NFI_Expiration=1,IF($A132&lt;VLOOKUP(O$5,NFI,5,0),1,0)*Table_NFI[[#This Row],[Complementary Kit]],Table_NFI[[#This Row],[Complementary Kit]])</f>
        <v>0</v>
      </c>
    </row>
    <row r="133" spans="1:23" ht="15">
      <c r="A133" s="125">
        <f ca="1" t="shared" si="3"/>
        <v>14.933333333333334</v>
      </c>
      <c r="B133" s="115">
        <v>41234</v>
      </c>
      <c r="C133" s="91" t="s">
        <v>960</v>
      </c>
      <c r="D133" s="91"/>
      <c r="E133" s="91" t="s">
        <v>434</v>
      </c>
      <c r="F133" s="1" t="s">
        <v>452</v>
      </c>
      <c r="G133" s="91" t="s">
        <v>471</v>
      </c>
      <c r="H133" s="91"/>
      <c r="I133" s="171"/>
      <c r="J133" s="171"/>
      <c r="K133" s="171"/>
      <c r="L133" s="172">
        <v>129</v>
      </c>
      <c r="M133" s="171"/>
      <c r="N133" s="171"/>
      <c r="O133" s="171"/>
      <c r="P133" s="179">
        <f ca="1">IF(NFI_Expiration=1,IF($A133&lt;VLOOKUP(H$5,NFI,5,0),1,0)*Table_NFI[[#This Row],[Hygiene Kit]],Table_NFI[[#This Row],[Hygiene Kit]])</f>
        <v>0</v>
      </c>
      <c r="Q133" s="179">
        <f ca="1">IF(NFI_Expiration=1,IF($A133&lt;VLOOKUP(I$5,NFI,5,0),1,0)*Table_NFI[[#This Row],[NFI Core Kit]],Table_NFI[[#This Row],[NFI Core Kit]])</f>
        <v>0</v>
      </c>
      <c r="R133" s="179">
        <f ca="1">IF(NFI_Expiration=1,IF($A133&lt;VLOOKUP(J$5,NFI,5,0),1,0)*Table_NFI[[#This Row],[Sanitary Kit]],Table_NFI[[#This Row],[Sanitary Kit]])</f>
        <v>0</v>
      </c>
      <c r="S133" s="179">
        <f ca="1">IF(NFI_Expiration=1,IF($A133&lt;VLOOKUP(K$5,NFI,5,0),1,0)*Table_NFI[[#This Row],[Mosquitoe net]],Table_NFI[[#This Row],[Mosquitoe net]])</f>
        <v>0</v>
      </c>
      <c r="T133" s="179">
        <f ca="1">IF(NFI_Expiration=1,IF($A133&lt;VLOOKUP(L$5,NFI,5,0),1,0)*Table_NFI[[#This Row],[Tarpaulin]],Table_NFI[[#This Row],[Tarpaulin]])</f>
        <v>0</v>
      </c>
      <c r="U133" s="179">
        <f ca="1">IF(NFI_Expiration=1,IF($A133&lt;VLOOKUP(M$5,NFI,5,0),1,0)*Table_NFI[[#This Row],[Blanket]],Table_NFI[[#This Row],[Blanket]])</f>
        <v>0</v>
      </c>
      <c r="V133" s="179">
        <f ca="1">IF(NFI_Expiration=1,IF($A133&lt;VLOOKUP(N$5,NFI,5,0),1,0)*Table_NFI[[#This Row],[Kitchen Set]],Table_NFI[[#This Row],[Kitchen Set]])</f>
        <v>0</v>
      </c>
      <c r="W133" s="179">
        <f ca="1">IF(NFI_Expiration=1,IF($A133&lt;VLOOKUP(O$5,NFI,5,0),1,0)*Table_NFI[[#This Row],[Complementary Kit]],Table_NFI[[#This Row],[Complementary Kit]])</f>
        <v>0</v>
      </c>
    </row>
    <row r="134" spans="1:23" ht="15">
      <c r="A134" s="125">
        <f ca="1" t="shared" si="3"/>
        <v>14.933333333333334</v>
      </c>
      <c r="B134" s="115">
        <v>41234</v>
      </c>
      <c r="C134" s="91" t="s">
        <v>960</v>
      </c>
      <c r="D134" s="91"/>
      <c r="E134" s="91" t="s">
        <v>434</v>
      </c>
      <c r="F134" s="1" t="s">
        <v>452</v>
      </c>
      <c r="G134" s="91" t="s">
        <v>475</v>
      </c>
      <c r="H134" s="91"/>
      <c r="I134" s="171"/>
      <c r="J134" s="171"/>
      <c r="K134" s="171"/>
      <c r="L134" s="172">
        <v>2</v>
      </c>
      <c r="M134" s="171"/>
      <c r="N134" s="171"/>
      <c r="O134" s="171"/>
      <c r="P134" s="179">
        <f ca="1">IF(NFI_Expiration=1,IF($A134&lt;VLOOKUP(H$5,NFI,5,0),1,0)*Table_NFI[[#This Row],[Hygiene Kit]],Table_NFI[[#This Row],[Hygiene Kit]])</f>
        <v>0</v>
      </c>
      <c r="Q134" s="179">
        <f ca="1">IF(NFI_Expiration=1,IF($A134&lt;VLOOKUP(I$5,NFI,5,0),1,0)*Table_NFI[[#This Row],[NFI Core Kit]],Table_NFI[[#This Row],[NFI Core Kit]])</f>
        <v>0</v>
      </c>
      <c r="R134" s="179">
        <f ca="1">IF(NFI_Expiration=1,IF($A134&lt;VLOOKUP(J$5,NFI,5,0),1,0)*Table_NFI[[#This Row],[Sanitary Kit]],Table_NFI[[#This Row],[Sanitary Kit]])</f>
        <v>0</v>
      </c>
      <c r="S134" s="179">
        <f ca="1">IF(NFI_Expiration=1,IF($A134&lt;VLOOKUP(K$5,NFI,5,0),1,0)*Table_NFI[[#This Row],[Mosquitoe net]],Table_NFI[[#This Row],[Mosquitoe net]])</f>
        <v>0</v>
      </c>
      <c r="T134" s="179">
        <f ca="1">IF(NFI_Expiration=1,IF($A134&lt;VLOOKUP(L$5,NFI,5,0),1,0)*Table_NFI[[#This Row],[Tarpaulin]],Table_NFI[[#This Row],[Tarpaulin]])</f>
        <v>0</v>
      </c>
      <c r="U134" s="179">
        <f ca="1">IF(NFI_Expiration=1,IF($A134&lt;VLOOKUP(M$5,NFI,5,0),1,0)*Table_NFI[[#This Row],[Blanket]],Table_NFI[[#This Row],[Blanket]])</f>
        <v>0</v>
      </c>
      <c r="V134" s="179">
        <f ca="1">IF(NFI_Expiration=1,IF($A134&lt;VLOOKUP(N$5,NFI,5,0),1,0)*Table_NFI[[#This Row],[Kitchen Set]],Table_NFI[[#This Row],[Kitchen Set]])</f>
        <v>0</v>
      </c>
      <c r="W134" s="179">
        <f ca="1">IF(NFI_Expiration=1,IF($A134&lt;VLOOKUP(O$5,NFI,5,0),1,0)*Table_NFI[[#This Row],[Complementary Kit]],Table_NFI[[#This Row],[Complementary Kit]])</f>
        <v>0</v>
      </c>
    </row>
    <row r="135" spans="1:23" ht="15">
      <c r="A135" s="125">
        <f ca="1" t="shared" si="3"/>
        <v>14.933333333333334</v>
      </c>
      <c r="B135" s="115">
        <v>41234</v>
      </c>
      <c r="C135" s="91" t="s">
        <v>960</v>
      </c>
      <c r="D135" s="91"/>
      <c r="E135" s="91" t="s">
        <v>434</v>
      </c>
      <c r="F135" s="1" t="s">
        <v>453</v>
      </c>
      <c r="G135" s="91" t="s">
        <v>476</v>
      </c>
      <c r="H135" s="91"/>
      <c r="I135" s="171"/>
      <c r="J135" s="171"/>
      <c r="K135" s="171"/>
      <c r="L135" s="172">
        <v>140</v>
      </c>
      <c r="M135" s="171"/>
      <c r="N135" s="171"/>
      <c r="O135" s="171"/>
      <c r="P135" s="179">
        <f ca="1">IF(NFI_Expiration=1,IF($A135&lt;VLOOKUP(H$5,NFI,5,0),1,0)*Table_NFI[[#This Row],[Hygiene Kit]],Table_NFI[[#This Row],[Hygiene Kit]])</f>
        <v>0</v>
      </c>
      <c r="Q135" s="179">
        <f ca="1">IF(NFI_Expiration=1,IF($A135&lt;VLOOKUP(I$5,NFI,5,0),1,0)*Table_NFI[[#This Row],[NFI Core Kit]],Table_NFI[[#This Row],[NFI Core Kit]])</f>
        <v>0</v>
      </c>
      <c r="R135" s="179">
        <f ca="1">IF(NFI_Expiration=1,IF($A135&lt;VLOOKUP(J$5,NFI,5,0),1,0)*Table_NFI[[#This Row],[Sanitary Kit]],Table_NFI[[#This Row],[Sanitary Kit]])</f>
        <v>0</v>
      </c>
      <c r="S135" s="179">
        <f ca="1">IF(NFI_Expiration=1,IF($A135&lt;VLOOKUP(K$5,NFI,5,0),1,0)*Table_NFI[[#This Row],[Mosquitoe net]],Table_NFI[[#This Row],[Mosquitoe net]])</f>
        <v>0</v>
      </c>
      <c r="T135" s="179">
        <f ca="1">IF(NFI_Expiration=1,IF($A135&lt;VLOOKUP(L$5,NFI,5,0),1,0)*Table_NFI[[#This Row],[Tarpaulin]],Table_NFI[[#This Row],[Tarpaulin]])</f>
        <v>0</v>
      </c>
      <c r="U135" s="179">
        <f ca="1">IF(NFI_Expiration=1,IF($A135&lt;VLOOKUP(M$5,NFI,5,0),1,0)*Table_NFI[[#This Row],[Blanket]],Table_NFI[[#This Row],[Blanket]])</f>
        <v>0</v>
      </c>
      <c r="V135" s="179">
        <f ca="1">IF(NFI_Expiration=1,IF($A135&lt;VLOOKUP(N$5,NFI,5,0),1,0)*Table_NFI[[#This Row],[Kitchen Set]],Table_NFI[[#This Row],[Kitchen Set]])</f>
        <v>0</v>
      </c>
      <c r="W135" s="179">
        <f ca="1">IF(NFI_Expiration=1,IF($A135&lt;VLOOKUP(O$5,NFI,5,0),1,0)*Table_NFI[[#This Row],[Complementary Kit]],Table_NFI[[#This Row],[Complementary Kit]])</f>
        <v>0</v>
      </c>
    </row>
    <row r="136" spans="1:23" ht="15">
      <c r="A136" s="125">
        <f ca="1" t="shared" si="3"/>
        <v>14.933333333333334</v>
      </c>
      <c r="B136" s="115">
        <v>41234</v>
      </c>
      <c r="C136" s="91" t="s">
        <v>960</v>
      </c>
      <c r="D136" s="91"/>
      <c r="E136" s="91" t="s">
        <v>434</v>
      </c>
      <c r="F136" s="1" t="s">
        <v>453</v>
      </c>
      <c r="G136" s="91" t="s">
        <v>477</v>
      </c>
      <c r="H136" s="91"/>
      <c r="I136" s="171"/>
      <c r="J136" s="171"/>
      <c r="K136" s="171"/>
      <c r="L136" s="172">
        <v>83</v>
      </c>
      <c r="M136" s="171"/>
      <c r="N136" s="171"/>
      <c r="O136" s="171"/>
      <c r="P136" s="179">
        <f ca="1">IF(NFI_Expiration=1,IF($A136&lt;VLOOKUP(H$5,NFI,5,0),1,0)*Table_NFI[[#This Row],[Hygiene Kit]],Table_NFI[[#This Row],[Hygiene Kit]])</f>
        <v>0</v>
      </c>
      <c r="Q136" s="179">
        <f ca="1">IF(NFI_Expiration=1,IF($A136&lt;VLOOKUP(I$5,NFI,5,0),1,0)*Table_NFI[[#This Row],[NFI Core Kit]],Table_NFI[[#This Row],[NFI Core Kit]])</f>
        <v>0</v>
      </c>
      <c r="R136" s="179">
        <f ca="1">IF(NFI_Expiration=1,IF($A136&lt;VLOOKUP(J$5,NFI,5,0),1,0)*Table_NFI[[#This Row],[Sanitary Kit]],Table_NFI[[#This Row],[Sanitary Kit]])</f>
        <v>0</v>
      </c>
      <c r="S136" s="179">
        <f ca="1">IF(NFI_Expiration=1,IF($A136&lt;VLOOKUP(K$5,NFI,5,0),1,0)*Table_NFI[[#This Row],[Mosquitoe net]],Table_NFI[[#This Row],[Mosquitoe net]])</f>
        <v>0</v>
      </c>
      <c r="T136" s="179">
        <f ca="1">IF(NFI_Expiration=1,IF($A136&lt;VLOOKUP(L$5,NFI,5,0),1,0)*Table_NFI[[#This Row],[Tarpaulin]],Table_NFI[[#This Row],[Tarpaulin]])</f>
        <v>0</v>
      </c>
      <c r="U136" s="179">
        <f ca="1">IF(NFI_Expiration=1,IF($A136&lt;VLOOKUP(M$5,NFI,5,0),1,0)*Table_NFI[[#This Row],[Blanket]],Table_NFI[[#This Row],[Blanket]])</f>
        <v>0</v>
      </c>
      <c r="V136" s="179">
        <f ca="1">IF(NFI_Expiration=1,IF($A136&lt;VLOOKUP(N$5,NFI,5,0),1,0)*Table_NFI[[#This Row],[Kitchen Set]],Table_NFI[[#This Row],[Kitchen Set]])</f>
        <v>0</v>
      </c>
      <c r="W136" s="179">
        <f ca="1">IF(NFI_Expiration=1,IF($A136&lt;VLOOKUP(O$5,NFI,5,0),1,0)*Table_NFI[[#This Row],[Complementary Kit]],Table_NFI[[#This Row],[Complementary Kit]])</f>
        <v>0</v>
      </c>
    </row>
    <row r="137" spans="1:23" ht="15">
      <c r="A137" s="125">
        <f ca="1" t="shared" si="3"/>
        <v>15</v>
      </c>
      <c r="B137" s="115">
        <v>41232</v>
      </c>
      <c r="C137" s="91" t="s">
        <v>960</v>
      </c>
      <c r="D137" s="91"/>
      <c r="E137" s="91" t="s">
        <v>434</v>
      </c>
      <c r="F137" s="1" t="s">
        <v>455</v>
      </c>
      <c r="G137" s="91" t="s">
        <v>483</v>
      </c>
      <c r="H137" s="91"/>
      <c r="I137" s="171"/>
      <c r="J137" s="171"/>
      <c r="K137" s="171"/>
      <c r="L137" s="172">
        <v>458</v>
      </c>
      <c r="M137" s="171"/>
      <c r="N137" s="171"/>
      <c r="O137" s="171"/>
      <c r="P137" s="179">
        <f ca="1">IF(NFI_Expiration=1,IF($A137&lt;VLOOKUP(H$5,NFI,5,0),1,0)*Table_NFI[[#This Row],[Hygiene Kit]],Table_NFI[[#This Row],[Hygiene Kit]])</f>
        <v>0</v>
      </c>
      <c r="Q137" s="179">
        <f ca="1">IF(NFI_Expiration=1,IF($A137&lt;VLOOKUP(I$5,NFI,5,0),1,0)*Table_NFI[[#This Row],[NFI Core Kit]],Table_NFI[[#This Row],[NFI Core Kit]])</f>
        <v>0</v>
      </c>
      <c r="R137" s="179">
        <f ca="1">IF(NFI_Expiration=1,IF($A137&lt;VLOOKUP(J$5,NFI,5,0),1,0)*Table_NFI[[#This Row],[Sanitary Kit]],Table_NFI[[#This Row],[Sanitary Kit]])</f>
        <v>0</v>
      </c>
      <c r="S137" s="179">
        <f ca="1">IF(NFI_Expiration=1,IF($A137&lt;VLOOKUP(K$5,NFI,5,0),1,0)*Table_NFI[[#This Row],[Mosquitoe net]],Table_NFI[[#This Row],[Mosquitoe net]])</f>
        <v>0</v>
      </c>
      <c r="T137" s="179">
        <f ca="1">IF(NFI_Expiration=1,IF($A137&lt;VLOOKUP(L$5,NFI,5,0),1,0)*Table_NFI[[#This Row],[Tarpaulin]],Table_NFI[[#This Row],[Tarpaulin]])</f>
        <v>0</v>
      </c>
      <c r="U137" s="179">
        <f ca="1">IF(NFI_Expiration=1,IF($A137&lt;VLOOKUP(M$5,NFI,5,0),1,0)*Table_NFI[[#This Row],[Blanket]],Table_NFI[[#This Row],[Blanket]])</f>
        <v>0</v>
      </c>
      <c r="V137" s="179">
        <f ca="1">IF(NFI_Expiration=1,IF($A137&lt;VLOOKUP(N$5,NFI,5,0),1,0)*Table_NFI[[#This Row],[Kitchen Set]],Table_NFI[[#This Row],[Kitchen Set]])</f>
        <v>0</v>
      </c>
      <c r="W137" s="179">
        <f ca="1">IF(NFI_Expiration=1,IF($A137&lt;VLOOKUP(O$5,NFI,5,0),1,0)*Table_NFI[[#This Row],[Complementary Kit]],Table_NFI[[#This Row],[Complementary Kit]])</f>
        <v>0</v>
      </c>
    </row>
    <row r="138" spans="1:23" ht="15">
      <c r="A138" s="125">
        <f ca="1" t="shared" si="3"/>
        <v>15</v>
      </c>
      <c r="B138" s="115">
        <v>41232</v>
      </c>
      <c r="C138" s="91" t="s">
        <v>960</v>
      </c>
      <c r="D138" s="91"/>
      <c r="E138" s="91" t="s">
        <v>434</v>
      </c>
      <c r="F138" s="1" t="s">
        <v>455</v>
      </c>
      <c r="G138" s="91" t="s">
        <v>484</v>
      </c>
      <c r="H138" s="91"/>
      <c r="I138" s="171"/>
      <c r="J138" s="171"/>
      <c r="K138" s="171"/>
      <c r="L138" s="172">
        <v>506</v>
      </c>
      <c r="M138" s="171"/>
      <c r="N138" s="171"/>
      <c r="O138" s="171"/>
      <c r="P138" s="179">
        <f ca="1">IF(NFI_Expiration=1,IF($A138&lt;VLOOKUP(H$5,NFI,5,0),1,0)*Table_NFI[[#This Row],[Hygiene Kit]],Table_NFI[[#This Row],[Hygiene Kit]])</f>
        <v>0</v>
      </c>
      <c r="Q138" s="179">
        <f ca="1">IF(NFI_Expiration=1,IF($A138&lt;VLOOKUP(I$5,NFI,5,0),1,0)*Table_NFI[[#This Row],[NFI Core Kit]],Table_NFI[[#This Row],[NFI Core Kit]])</f>
        <v>0</v>
      </c>
      <c r="R138" s="179">
        <f ca="1">IF(NFI_Expiration=1,IF($A138&lt;VLOOKUP(J$5,NFI,5,0),1,0)*Table_NFI[[#This Row],[Sanitary Kit]],Table_NFI[[#This Row],[Sanitary Kit]])</f>
        <v>0</v>
      </c>
      <c r="S138" s="179">
        <f ca="1">IF(NFI_Expiration=1,IF($A138&lt;VLOOKUP(K$5,NFI,5,0),1,0)*Table_NFI[[#This Row],[Mosquitoe net]],Table_NFI[[#This Row],[Mosquitoe net]])</f>
        <v>0</v>
      </c>
      <c r="T138" s="179">
        <f ca="1">IF(NFI_Expiration=1,IF($A138&lt;VLOOKUP(L$5,NFI,5,0),1,0)*Table_NFI[[#This Row],[Tarpaulin]],Table_NFI[[#This Row],[Tarpaulin]])</f>
        <v>0</v>
      </c>
      <c r="U138" s="179">
        <f ca="1">IF(NFI_Expiration=1,IF($A138&lt;VLOOKUP(M$5,NFI,5,0),1,0)*Table_NFI[[#This Row],[Blanket]],Table_NFI[[#This Row],[Blanket]])</f>
        <v>0</v>
      </c>
      <c r="V138" s="179">
        <f ca="1">IF(NFI_Expiration=1,IF($A138&lt;VLOOKUP(N$5,NFI,5,0),1,0)*Table_NFI[[#This Row],[Kitchen Set]],Table_NFI[[#This Row],[Kitchen Set]])</f>
        <v>0</v>
      </c>
      <c r="W138" s="179">
        <f ca="1">IF(NFI_Expiration=1,IF($A138&lt;VLOOKUP(O$5,NFI,5,0),1,0)*Table_NFI[[#This Row],[Complementary Kit]],Table_NFI[[#This Row],[Complementary Kit]])</f>
        <v>0</v>
      </c>
    </row>
    <row r="139" spans="1:23" ht="15">
      <c r="A139" s="125">
        <f ca="1" t="shared" si="3"/>
        <v>15</v>
      </c>
      <c r="B139" s="115">
        <v>41232</v>
      </c>
      <c r="C139" s="91" t="s">
        <v>960</v>
      </c>
      <c r="D139" s="91"/>
      <c r="E139" s="91" t="s">
        <v>434</v>
      </c>
      <c r="F139" s="1" t="s">
        <v>455</v>
      </c>
      <c r="G139" s="91" t="s">
        <v>485</v>
      </c>
      <c r="H139" s="91"/>
      <c r="I139" s="171"/>
      <c r="J139" s="171"/>
      <c r="K139" s="171"/>
      <c r="L139" s="172">
        <v>369</v>
      </c>
      <c r="M139" s="171"/>
      <c r="N139" s="171"/>
      <c r="O139" s="171"/>
      <c r="P139" s="179">
        <f ca="1">IF(NFI_Expiration=1,IF($A139&lt;VLOOKUP(H$5,NFI,5,0),1,0)*Table_NFI[[#This Row],[Hygiene Kit]],Table_NFI[[#This Row],[Hygiene Kit]])</f>
        <v>0</v>
      </c>
      <c r="Q139" s="179">
        <f ca="1">IF(NFI_Expiration=1,IF($A139&lt;VLOOKUP(I$5,NFI,5,0),1,0)*Table_NFI[[#This Row],[NFI Core Kit]],Table_NFI[[#This Row],[NFI Core Kit]])</f>
        <v>0</v>
      </c>
      <c r="R139" s="179">
        <f ca="1">IF(NFI_Expiration=1,IF($A139&lt;VLOOKUP(J$5,NFI,5,0),1,0)*Table_NFI[[#This Row],[Sanitary Kit]],Table_NFI[[#This Row],[Sanitary Kit]])</f>
        <v>0</v>
      </c>
      <c r="S139" s="179">
        <f ca="1">IF(NFI_Expiration=1,IF($A139&lt;VLOOKUP(K$5,NFI,5,0),1,0)*Table_NFI[[#This Row],[Mosquitoe net]],Table_NFI[[#This Row],[Mosquitoe net]])</f>
        <v>0</v>
      </c>
      <c r="T139" s="179">
        <f ca="1">IF(NFI_Expiration=1,IF($A139&lt;VLOOKUP(L$5,NFI,5,0),1,0)*Table_NFI[[#This Row],[Tarpaulin]],Table_NFI[[#This Row],[Tarpaulin]])</f>
        <v>0</v>
      </c>
      <c r="U139" s="179">
        <f ca="1">IF(NFI_Expiration=1,IF($A139&lt;VLOOKUP(M$5,NFI,5,0),1,0)*Table_NFI[[#This Row],[Blanket]],Table_NFI[[#This Row],[Blanket]])</f>
        <v>0</v>
      </c>
      <c r="V139" s="179">
        <f ca="1">IF(NFI_Expiration=1,IF($A139&lt;VLOOKUP(N$5,NFI,5,0),1,0)*Table_NFI[[#This Row],[Kitchen Set]],Table_NFI[[#This Row],[Kitchen Set]])</f>
        <v>0</v>
      </c>
      <c r="W139" s="179">
        <f ca="1">IF(NFI_Expiration=1,IF($A139&lt;VLOOKUP(O$5,NFI,5,0),1,0)*Table_NFI[[#This Row],[Complementary Kit]],Table_NFI[[#This Row],[Complementary Kit]])</f>
        <v>0</v>
      </c>
    </row>
    <row r="140" spans="1:23" ht="15">
      <c r="A140" s="125">
        <f ca="1" t="shared" si="3"/>
        <v>15</v>
      </c>
      <c r="B140" s="115">
        <v>41232</v>
      </c>
      <c r="C140" s="91" t="s">
        <v>960</v>
      </c>
      <c r="D140" s="91"/>
      <c r="E140" s="91" t="s">
        <v>434</v>
      </c>
      <c r="F140" s="1" t="s">
        <v>455</v>
      </c>
      <c r="G140" s="91" t="s">
        <v>486</v>
      </c>
      <c r="H140" s="91"/>
      <c r="I140" s="171"/>
      <c r="J140" s="171"/>
      <c r="K140" s="171"/>
      <c r="L140" s="172">
        <v>362</v>
      </c>
      <c r="M140" s="171"/>
      <c r="N140" s="171"/>
      <c r="O140" s="171"/>
      <c r="P140" s="179">
        <f ca="1">IF(NFI_Expiration=1,IF($A140&lt;VLOOKUP(H$5,NFI,5,0),1,0)*Table_NFI[[#This Row],[Hygiene Kit]],Table_NFI[[#This Row],[Hygiene Kit]])</f>
        <v>0</v>
      </c>
      <c r="Q140" s="179">
        <f ca="1">IF(NFI_Expiration=1,IF($A140&lt;VLOOKUP(I$5,NFI,5,0),1,0)*Table_NFI[[#This Row],[NFI Core Kit]],Table_NFI[[#This Row],[NFI Core Kit]])</f>
        <v>0</v>
      </c>
      <c r="R140" s="179">
        <f ca="1">IF(NFI_Expiration=1,IF($A140&lt;VLOOKUP(J$5,NFI,5,0),1,0)*Table_NFI[[#This Row],[Sanitary Kit]],Table_NFI[[#This Row],[Sanitary Kit]])</f>
        <v>0</v>
      </c>
      <c r="S140" s="179">
        <f ca="1">IF(NFI_Expiration=1,IF($A140&lt;VLOOKUP(K$5,NFI,5,0),1,0)*Table_NFI[[#This Row],[Mosquitoe net]],Table_NFI[[#This Row],[Mosquitoe net]])</f>
        <v>0</v>
      </c>
      <c r="T140" s="179">
        <f ca="1">IF(NFI_Expiration=1,IF($A140&lt;VLOOKUP(L$5,NFI,5,0),1,0)*Table_NFI[[#This Row],[Tarpaulin]],Table_NFI[[#This Row],[Tarpaulin]])</f>
        <v>0</v>
      </c>
      <c r="U140" s="179">
        <f ca="1">IF(NFI_Expiration=1,IF($A140&lt;VLOOKUP(M$5,NFI,5,0),1,0)*Table_NFI[[#This Row],[Blanket]],Table_NFI[[#This Row],[Blanket]])</f>
        <v>0</v>
      </c>
      <c r="V140" s="179">
        <f ca="1">IF(NFI_Expiration=1,IF($A140&lt;VLOOKUP(N$5,NFI,5,0),1,0)*Table_NFI[[#This Row],[Kitchen Set]],Table_NFI[[#This Row],[Kitchen Set]])</f>
        <v>0</v>
      </c>
      <c r="W140" s="179">
        <f ca="1">IF(NFI_Expiration=1,IF($A140&lt;VLOOKUP(O$5,NFI,5,0),1,0)*Table_NFI[[#This Row],[Complementary Kit]],Table_NFI[[#This Row],[Complementary Kit]])</f>
        <v>0</v>
      </c>
    </row>
    <row r="141" spans="1:23" ht="15">
      <c r="A141" s="125">
        <f ca="1" t="shared" si="3"/>
        <v>15.533333333333333</v>
      </c>
      <c r="B141" s="115">
        <v>41216</v>
      </c>
      <c r="C141" s="91" t="s">
        <v>960</v>
      </c>
      <c r="D141" s="91"/>
      <c r="E141" s="91" t="s">
        <v>434</v>
      </c>
      <c r="F141" s="1" t="s">
        <v>455</v>
      </c>
      <c r="G141" s="91"/>
      <c r="H141" s="91"/>
      <c r="I141" s="171"/>
      <c r="J141" s="171"/>
      <c r="K141" s="171"/>
      <c r="L141" s="172">
        <v>500</v>
      </c>
      <c r="M141" s="171"/>
      <c r="N141" s="171"/>
      <c r="O141" s="171"/>
      <c r="P141" s="179">
        <f ca="1">IF(NFI_Expiration=1,IF($A141&lt;VLOOKUP(H$5,NFI,5,0),1,0)*Table_NFI[[#This Row],[Hygiene Kit]],Table_NFI[[#This Row],[Hygiene Kit]])</f>
        <v>0</v>
      </c>
      <c r="Q141" s="179">
        <f ca="1">IF(NFI_Expiration=1,IF($A141&lt;VLOOKUP(I$5,NFI,5,0),1,0)*Table_NFI[[#This Row],[NFI Core Kit]],Table_NFI[[#This Row],[NFI Core Kit]])</f>
        <v>0</v>
      </c>
      <c r="R141" s="179">
        <f ca="1">IF(NFI_Expiration=1,IF($A141&lt;VLOOKUP(J$5,NFI,5,0),1,0)*Table_NFI[[#This Row],[Sanitary Kit]],Table_NFI[[#This Row],[Sanitary Kit]])</f>
        <v>0</v>
      </c>
      <c r="S141" s="179">
        <f ca="1">IF(NFI_Expiration=1,IF($A141&lt;VLOOKUP(K$5,NFI,5,0),1,0)*Table_NFI[[#This Row],[Mosquitoe net]],Table_NFI[[#This Row],[Mosquitoe net]])</f>
        <v>0</v>
      </c>
      <c r="T141" s="179">
        <f ca="1">IF(NFI_Expiration=1,IF($A141&lt;VLOOKUP(L$5,NFI,5,0),1,0)*Table_NFI[[#This Row],[Tarpaulin]],Table_NFI[[#This Row],[Tarpaulin]])</f>
        <v>0</v>
      </c>
      <c r="U141" s="179">
        <f ca="1">IF(NFI_Expiration=1,IF($A141&lt;VLOOKUP(M$5,NFI,5,0),1,0)*Table_NFI[[#This Row],[Blanket]],Table_NFI[[#This Row],[Blanket]])</f>
        <v>0</v>
      </c>
      <c r="V141" s="179">
        <f ca="1">IF(NFI_Expiration=1,IF($A141&lt;VLOOKUP(N$5,NFI,5,0),1,0)*Table_NFI[[#This Row],[Kitchen Set]],Table_NFI[[#This Row],[Kitchen Set]])</f>
        <v>0</v>
      </c>
      <c r="W141" s="179">
        <f ca="1">IF(NFI_Expiration=1,IF($A141&lt;VLOOKUP(O$5,NFI,5,0),1,0)*Table_NFI[[#This Row],[Complementary Kit]],Table_NFI[[#This Row],[Complementary Kit]])</f>
        <v>0</v>
      </c>
    </row>
    <row r="142" spans="1:23" ht="15">
      <c r="A142" s="125">
        <f ca="1" t="shared" si="3"/>
        <v>15.533333333333333</v>
      </c>
      <c r="B142" s="115">
        <v>41216</v>
      </c>
      <c r="C142" s="91" t="s">
        <v>960</v>
      </c>
      <c r="D142" s="91"/>
      <c r="E142" s="91" t="s">
        <v>434</v>
      </c>
      <c r="F142" s="1" t="s">
        <v>455</v>
      </c>
      <c r="G142" s="91" t="s">
        <v>486</v>
      </c>
      <c r="H142" s="91"/>
      <c r="I142" s="171"/>
      <c r="J142" s="171"/>
      <c r="K142" s="171"/>
      <c r="L142" s="172">
        <v>500</v>
      </c>
      <c r="M142" s="171"/>
      <c r="N142" s="171"/>
      <c r="O142" s="171"/>
      <c r="P142" s="179">
        <f ca="1">IF(NFI_Expiration=1,IF($A142&lt;VLOOKUP(H$5,NFI,5,0),1,0)*Table_NFI[[#This Row],[Hygiene Kit]],Table_NFI[[#This Row],[Hygiene Kit]])</f>
        <v>0</v>
      </c>
      <c r="Q142" s="179">
        <f ca="1">IF(NFI_Expiration=1,IF($A142&lt;VLOOKUP(I$5,NFI,5,0),1,0)*Table_NFI[[#This Row],[NFI Core Kit]],Table_NFI[[#This Row],[NFI Core Kit]])</f>
        <v>0</v>
      </c>
      <c r="R142" s="179">
        <f ca="1">IF(NFI_Expiration=1,IF($A142&lt;VLOOKUP(J$5,NFI,5,0),1,0)*Table_NFI[[#This Row],[Sanitary Kit]],Table_NFI[[#This Row],[Sanitary Kit]])</f>
        <v>0</v>
      </c>
      <c r="S142" s="179">
        <f ca="1">IF(NFI_Expiration=1,IF($A142&lt;VLOOKUP(K$5,NFI,5,0),1,0)*Table_NFI[[#This Row],[Mosquitoe net]],Table_NFI[[#This Row],[Mosquitoe net]])</f>
        <v>0</v>
      </c>
      <c r="T142" s="179">
        <f ca="1">IF(NFI_Expiration=1,IF($A142&lt;VLOOKUP(L$5,NFI,5,0),1,0)*Table_NFI[[#This Row],[Tarpaulin]],Table_NFI[[#This Row],[Tarpaulin]])</f>
        <v>0</v>
      </c>
      <c r="U142" s="179">
        <f ca="1">IF(NFI_Expiration=1,IF($A142&lt;VLOOKUP(M$5,NFI,5,0),1,0)*Table_NFI[[#This Row],[Blanket]],Table_NFI[[#This Row],[Blanket]])</f>
        <v>0</v>
      </c>
      <c r="V142" s="179">
        <f ca="1">IF(NFI_Expiration=1,IF($A142&lt;VLOOKUP(N$5,NFI,5,0),1,0)*Table_NFI[[#This Row],[Kitchen Set]],Table_NFI[[#This Row],[Kitchen Set]])</f>
        <v>0</v>
      </c>
      <c r="W142" s="179">
        <f ca="1">IF(NFI_Expiration=1,IF($A142&lt;VLOOKUP(O$5,NFI,5,0),1,0)*Table_NFI[[#This Row],[Complementary Kit]],Table_NFI[[#This Row],[Complementary Kit]])</f>
        <v>0</v>
      </c>
    </row>
    <row r="143" spans="1:23" ht="15">
      <c r="A143" s="125">
        <f ca="1" t="shared" si="3"/>
        <v>15.566666666666666</v>
      </c>
      <c r="B143" s="115">
        <v>41215</v>
      </c>
      <c r="C143" s="91" t="s">
        <v>960</v>
      </c>
      <c r="D143" s="91"/>
      <c r="E143" s="91" t="s">
        <v>434</v>
      </c>
      <c r="F143" s="1" t="s">
        <v>456</v>
      </c>
      <c r="G143" s="91"/>
      <c r="H143" s="91"/>
      <c r="I143" s="171"/>
      <c r="J143" s="171"/>
      <c r="K143" s="171"/>
      <c r="L143" s="172">
        <v>99</v>
      </c>
      <c r="M143" s="171"/>
      <c r="N143" s="171"/>
      <c r="O143" s="171"/>
      <c r="P143" s="179">
        <f ca="1">IF(NFI_Expiration=1,IF($A143&lt;VLOOKUP(H$5,NFI,5,0),1,0)*Table_NFI[[#This Row],[Hygiene Kit]],Table_NFI[[#This Row],[Hygiene Kit]])</f>
        <v>0</v>
      </c>
      <c r="Q143" s="179">
        <f ca="1">IF(NFI_Expiration=1,IF($A143&lt;VLOOKUP(I$5,NFI,5,0),1,0)*Table_NFI[[#This Row],[NFI Core Kit]],Table_NFI[[#This Row],[NFI Core Kit]])</f>
        <v>0</v>
      </c>
      <c r="R143" s="179">
        <f ca="1">IF(NFI_Expiration=1,IF($A143&lt;VLOOKUP(J$5,NFI,5,0),1,0)*Table_NFI[[#This Row],[Sanitary Kit]],Table_NFI[[#This Row],[Sanitary Kit]])</f>
        <v>0</v>
      </c>
      <c r="S143" s="179">
        <f ca="1">IF(NFI_Expiration=1,IF($A143&lt;VLOOKUP(K$5,NFI,5,0),1,0)*Table_NFI[[#This Row],[Mosquitoe net]],Table_NFI[[#This Row],[Mosquitoe net]])</f>
        <v>0</v>
      </c>
      <c r="T143" s="179">
        <f ca="1">IF(NFI_Expiration=1,IF($A143&lt;VLOOKUP(L$5,NFI,5,0),1,0)*Table_NFI[[#This Row],[Tarpaulin]],Table_NFI[[#This Row],[Tarpaulin]])</f>
        <v>0</v>
      </c>
      <c r="U143" s="179">
        <f ca="1">IF(NFI_Expiration=1,IF($A143&lt;VLOOKUP(M$5,NFI,5,0),1,0)*Table_NFI[[#This Row],[Blanket]],Table_NFI[[#This Row],[Blanket]])</f>
        <v>0</v>
      </c>
      <c r="V143" s="179">
        <f ca="1">IF(NFI_Expiration=1,IF($A143&lt;VLOOKUP(N$5,NFI,5,0),1,0)*Table_NFI[[#This Row],[Kitchen Set]],Table_NFI[[#This Row],[Kitchen Set]])</f>
        <v>0</v>
      </c>
      <c r="W143" s="179">
        <f ca="1">IF(NFI_Expiration=1,IF($A143&lt;VLOOKUP(O$5,NFI,5,0),1,0)*Table_NFI[[#This Row],[Complementary Kit]],Table_NFI[[#This Row],[Complementary Kit]])</f>
        <v>0</v>
      </c>
    </row>
    <row r="144" spans="1:23" ht="15">
      <c r="A144" s="125">
        <f ca="1" t="shared" si="3"/>
        <v>15.6</v>
      </c>
      <c r="B144" s="115">
        <v>41214</v>
      </c>
      <c r="C144" s="91" t="s">
        <v>960</v>
      </c>
      <c r="D144" s="91"/>
      <c r="E144" s="91" t="s">
        <v>434</v>
      </c>
      <c r="F144" s="1" t="s">
        <v>454</v>
      </c>
      <c r="G144" s="91" t="s">
        <v>481</v>
      </c>
      <c r="H144" s="91"/>
      <c r="I144" s="171"/>
      <c r="J144" s="171"/>
      <c r="K144" s="171"/>
      <c r="L144" s="172">
        <v>400</v>
      </c>
      <c r="M144" s="171"/>
      <c r="N144" s="171"/>
      <c r="O144" s="171"/>
      <c r="P144" s="179">
        <f ca="1">IF(NFI_Expiration=1,IF($A144&lt;VLOOKUP(H$5,NFI,5,0),1,0)*Table_NFI[[#This Row],[Hygiene Kit]],Table_NFI[[#This Row],[Hygiene Kit]])</f>
        <v>0</v>
      </c>
      <c r="Q144" s="179">
        <f ca="1">IF(NFI_Expiration=1,IF($A144&lt;VLOOKUP(I$5,NFI,5,0),1,0)*Table_NFI[[#This Row],[NFI Core Kit]],Table_NFI[[#This Row],[NFI Core Kit]])</f>
        <v>0</v>
      </c>
      <c r="R144" s="179">
        <f ca="1">IF(NFI_Expiration=1,IF($A144&lt;VLOOKUP(J$5,NFI,5,0),1,0)*Table_NFI[[#This Row],[Sanitary Kit]],Table_NFI[[#This Row],[Sanitary Kit]])</f>
        <v>0</v>
      </c>
      <c r="S144" s="179">
        <f ca="1">IF(NFI_Expiration=1,IF($A144&lt;VLOOKUP(K$5,NFI,5,0),1,0)*Table_NFI[[#This Row],[Mosquitoe net]],Table_NFI[[#This Row],[Mosquitoe net]])</f>
        <v>0</v>
      </c>
      <c r="T144" s="179">
        <f ca="1">IF(NFI_Expiration=1,IF($A144&lt;VLOOKUP(L$5,NFI,5,0),1,0)*Table_NFI[[#This Row],[Tarpaulin]],Table_NFI[[#This Row],[Tarpaulin]])</f>
        <v>0</v>
      </c>
      <c r="U144" s="179">
        <f ca="1">IF(NFI_Expiration=1,IF($A144&lt;VLOOKUP(M$5,NFI,5,0),1,0)*Table_NFI[[#This Row],[Blanket]],Table_NFI[[#This Row],[Blanket]])</f>
        <v>0</v>
      </c>
      <c r="V144" s="179">
        <f ca="1">IF(NFI_Expiration=1,IF($A144&lt;VLOOKUP(N$5,NFI,5,0),1,0)*Table_NFI[[#This Row],[Kitchen Set]],Table_NFI[[#This Row],[Kitchen Set]])</f>
        <v>0</v>
      </c>
      <c r="W144" s="179">
        <f ca="1">IF(NFI_Expiration=1,IF($A144&lt;VLOOKUP(O$5,NFI,5,0),1,0)*Table_NFI[[#This Row],[Complementary Kit]],Table_NFI[[#This Row],[Complementary Kit]])</f>
        <v>0</v>
      </c>
    </row>
    <row r="145" spans="1:23" ht="15">
      <c r="A145" s="125">
        <f ca="1" t="shared" si="3"/>
        <v>15.633333333333333</v>
      </c>
      <c r="B145" s="115">
        <v>41213</v>
      </c>
      <c r="C145" s="91" t="s">
        <v>960</v>
      </c>
      <c r="D145" s="91"/>
      <c r="E145" s="91" t="s">
        <v>434</v>
      </c>
      <c r="F145" s="1" t="s">
        <v>452</v>
      </c>
      <c r="G145" s="91" t="s">
        <v>471</v>
      </c>
      <c r="H145" s="91"/>
      <c r="I145" s="171"/>
      <c r="J145" s="171"/>
      <c r="K145" s="171"/>
      <c r="L145" s="172">
        <v>100</v>
      </c>
      <c r="M145" s="171"/>
      <c r="N145" s="171"/>
      <c r="O145" s="171"/>
      <c r="P145" s="179">
        <f ca="1">IF(NFI_Expiration=1,IF($A145&lt;VLOOKUP(H$5,NFI,5,0),1,0)*Table_NFI[[#This Row],[Hygiene Kit]],Table_NFI[[#This Row],[Hygiene Kit]])</f>
        <v>0</v>
      </c>
      <c r="Q145" s="179">
        <f ca="1">IF(NFI_Expiration=1,IF($A145&lt;VLOOKUP(I$5,NFI,5,0),1,0)*Table_NFI[[#This Row],[NFI Core Kit]],Table_NFI[[#This Row],[NFI Core Kit]])</f>
        <v>0</v>
      </c>
      <c r="R145" s="179">
        <f ca="1">IF(NFI_Expiration=1,IF($A145&lt;VLOOKUP(J$5,NFI,5,0),1,0)*Table_NFI[[#This Row],[Sanitary Kit]],Table_NFI[[#This Row],[Sanitary Kit]])</f>
        <v>0</v>
      </c>
      <c r="S145" s="179">
        <f ca="1">IF(NFI_Expiration=1,IF($A145&lt;VLOOKUP(K$5,NFI,5,0),1,0)*Table_NFI[[#This Row],[Mosquitoe net]],Table_NFI[[#This Row],[Mosquitoe net]])</f>
        <v>0</v>
      </c>
      <c r="T145" s="179">
        <f ca="1">IF(NFI_Expiration=1,IF($A145&lt;VLOOKUP(L$5,NFI,5,0),1,0)*Table_NFI[[#This Row],[Tarpaulin]],Table_NFI[[#This Row],[Tarpaulin]])</f>
        <v>0</v>
      </c>
      <c r="U145" s="179">
        <f ca="1">IF(NFI_Expiration=1,IF($A145&lt;VLOOKUP(M$5,NFI,5,0),1,0)*Table_NFI[[#This Row],[Blanket]],Table_NFI[[#This Row],[Blanket]])</f>
        <v>0</v>
      </c>
      <c r="V145" s="179">
        <f ca="1">IF(NFI_Expiration=1,IF($A145&lt;VLOOKUP(N$5,NFI,5,0),1,0)*Table_NFI[[#This Row],[Kitchen Set]],Table_NFI[[#This Row],[Kitchen Set]])</f>
        <v>0</v>
      </c>
      <c r="W145" s="179">
        <f ca="1">IF(NFI_Expiration=1,IF($A145&lt;VLOOKUP(O$5,NFI,5,0),1,0)*Table_NFI[[#This Row],[Complementary Kit]],Table_NFI[[#This Row],[Complementary Kit]])</f>
        <v>0</v>
      </c>
    </row>
    <row r="146" spans="1:23" ht="15">
      <c r="A146" s="125">
        <f ca="1" t="shared" si="3"/>
        <v>15.633333333333333</v>
      </c>
      <c r="B146" s="115">
        <v>41213</v>
      </c>
      <c r="C146" s="91" t="s">
        <v>960</v>
      </c>
      <c r="D146" s="91"/>
      <c r="E146" s="91" t="s">
        <v>434</v>
      </c>
      <c r="F146" s="1" t="s">
        <v>453</v>
      </c>
      <c r="G146" s="91" t="s">
        <v>476</v>
      </c>
      <c r="H146" s="91"/>
      <c r="I146" s="171"/>
      <c r="J146" s="171"/>
      <c r="K146" s="171"/>
      <c r="L146" s="172">
        <v>100</v>
      </c>
      <c r="M146" s="171"/>
      <c r="N146" s="171"/>
      <c r="O146" s="171"/>
      <c r="P146" s="179">
        <f ca="1">IF(NFI_Expiration=1,IF($A146&lt;VLOOKUP(H$5,NFI,5,0),1,0)*Table_NFI[[#This Row],[Hygiene Kit]],Table_NFI[[#This Row],[Hygiene Kit]])</f>
        <v>0</v>
      </c>
      <c r="Q146" s="179">
        <f ca="1">IF(NFI_Expiration=1,IF($A146&lt;VLOOKUP(I$5,NFI,5,0),1,0)*Table_NFI[[#This Row],[NFI Core Kit]],Table_NFI[[#This Row],[NFI Core Kit]])</f>
        <v>0</v>
      </c>
      <c r="R146" s="179">
        <f ca="1">IF(NFI_Expiration=1,IF($A146&lt;VLOOKUP(J$5,NFI,5,0),1,0)*Table_NFI[[#This Row],[Sanitary Kit]],Table_NFI[[#This Row],[Sanitary Kit]])</f>
        <v>0</v>
      </c>
      <c r="S146" s="179">
        <f ca="1">IF(NFI_Expiration=1,IF($A146&lt;VLOOKUP(K$5,NFI,5,0),1,0)*Table_NFI[[#This Row],[Mosquitoe net]],Table_NFI[[#This Row],[Mosquitoe net]])</f>
        <v>0</v>
      </c>
      <c r="T146" s="179">
        <f ca="1">IF(NFI_Expiration=1,IF($A146&lt;VLOOKUP(L$5,NFI,5,0),1,0)*Table_NFI[[#This Row],[Tarpaulin]],Table_NFI[[#This Row],[Tarpaulin]])</f>
        <v>0</v>
      </c>
      <c r="U146" s="179">
        <f ca="1">IF(NFI_Expiration=1,IF($A146&lt;VLOOKUP(M$5,NFI,5,0),1,0)*Table_NFI[[#This Row],[Blanket]],Table_NFI[[#This Row],[Blanket]])</f>
        <v>0</v>
      </c>
      <c r="V146" s="179">
        <f ca="1">IF(NFI_Expiration=1,IF($A146&lt;VLOOKUP(N$5,NFI,5,0),1,0)*Table_NFI[[#This Row],[Kitchen Set]],Table_NFI[[#This Row],[Kitchen Set]])</f>
        <v>0</v>
      </c>
      <c r="W146" s="179">
        <f ca="1">IF(NFI_Expiration=1,IF($A146&lt;VLOOKUP(O$5,NFI,5,0),1,0)*Table_NFI[[#This Row],[Complementary Kit]],Table_NFI[[#This Row],[Complementary Kit]])</f>
        <v>0</v>
      </c>
    </row>
    <row r="147" spans="1:23" ht="15">
      <c r="A147" s="125">
        <f ca="1" t="shared" si="3"/>
        <v>15.633333333333333</v>
      </c>
      <c r="B147" s="115">
        <v>41213</v>
      </c>
      <c r="C147" s="91" t="s">
        <v>960</v>
      </c>
      <c r="D147" s="91"/>
      <c r="E147" s="91" t="s">
        <v>434</v>
      </c>
      <c r="F147" s="1" t="s">
        <v>452</v>
      </c>
      <c r="G147" s="91" t="s">
        <v>473</v>
      </c>
      <c r="H147" s="91"/>
      <c r="I147" s="171"/>
      <c r="J147" s="171"/>
      <c r="K147" s="171"/>
      <c r="L147" s="172">
        <v>40</v>
      </c>
      <c r="M147" s="171"/>
      <c r="N147" s="171"/>
      <c r="O147" s="171"/>
      <c r="P147" s="179">
        <f ca="1">IF(NFI_Expiration=1,IF($A147&lt;VLOOKUP(H$5,NFI,5,0),1,0)*Table_NFI[[#This Row],[Hygiene Kit]],Table_NFI[[#This Row],[Hygiene Kit]])</f>
        <v>0</v>
      </c>
      <c r="Q147" s="179">
        <f ca="1">IF(NFI_Expiration=1,IF($A147&lt;VLOOKUP(I$5,NFI,5,0),1,0)*Table_NFI[[#This Row],[NFI Core Kit]],Table_NFI[[#This Row],[NFI Core Kit]])</f>
        <v>0</v>
      </c>
      <c r="R147" s="179">
        <f ca="1">IF(NFI_Expiration=1,IF($A147&lt;VLOOKUP(J$5,NFI,5,0),1,0)*Table_NFI[[#This Row],[Sanitary Kit]],Table_NFI[[#This Row],[Sanitary Kit]])</f>
        <v>0</v>
      </c>
      <c r="S147" s="179">
        <f ca="1">IF(NFI_Expiration=1,IF($A147&lt;VLOOKUP(K$5,NFI,5,0),1,0)*Table_NFI[[#This Row],[Mosquitoe net]],Table_NFI[[#This Row],[Mosquitoe net]])</f>
        <v>0</v>
      </c>
      <c r="T147" s="179">
        <f ca="1">IF(NFI_Expiration=1,IF($A147&lt;VLOOKUP(L$5,NFI,5,0),1,0)*Table_NFI[[#This Row],[Tarpaulin]],Table_NFI[[#This Row],[Tarpaulin]])</f>
        <v>0</v>
      </c>
      <c r="U147" s="179">
        <f ca="1">IF(NFI_Expiration=1,IF($A147&lt;VLOOKUP(M$5,NFI,5,0),1,0)*Table_NFI[[#This Row],[Blanket]],Table_NFI[[#This Row],[Blanket]])</f>
        <v>0</v>
      </c>
      <c r="V147" s="179">
        <f ca="1">IF(NFI_Expiration=1,IF($A147&lt;VLOOKUP(N$5,NFI,5,0),1,0)*Table_NFI[[#This Row],[Kitchen Set]],Table_NFI[[#This Row],[Kitchen Set]])</f>
        <v>0</v>
      </c>
      <c r="W147" s="179">
        <f ca="1">IF(NFI_Expiration=1,IF($A147&lt;VLOOKUP(O$5,NFI,5,0),1,0)*Table_NFI[[#This Row],[Complementary Kit]],Table_NFI[[#This Row],[Complementary Kit]])</f>
        <v>0</v>
      </c>
    </row>
    <row r="148" spans="1:23" ht="15">
      <c r="A148" s="125">
        <f ca="1" t="shared" si="3"/>
        <v>16.433333333333334</v>
      </c>
      <c r="B148" s="115">
        <v>41189</v>
      </c>
      <c r="C148" s="91" t="s">
        <v>960</v>
      </c>
      <c r="D148" s="91"/>
      <c r="E148" s="91" t="s">
        <v>434</v>
      </c>
      <c r="F148" s="1" t="s">
        <v>456</v>
      </c>
      <c r="G148" s="91" t="s">
        <v>491</v>
      </c>
      <c r="H148" s="91"/>
      <c r="I148" s="171"/>
      <c r="J148" s="171"/>
      <c r="K148" s="171"/>
      <c r="L148" s="172">
        <v>85</v>
      </c>
      <c r="M148" s="171"/>
      <c r="N148" s="171"/>
      <c r="O148" s="171"/>
      <c r="P148" s="179">
        <f ca="1">IF(NFI_Expiration=1,IF($A148&lt;VLOOKUP(H$5,NFI,5,0),1,0)*Table_NFI[[#This Row],[Hygiene Kit]],Table_NFI[[#This Row],[Hygiene Kit]])</f>
        <v>0</v>
      </c>
      <c r="Q148" s="179">
        <f ca="1">IF(NFI_Expiration=1,IF($A148&lt;VLOOKUP(I$5,NFI,5,0),1,0)*Table_NFI[[#This Row],[NFI Core Kit]],Table_NFI[[#This Row],[NFI Core Kit]])</f>
        <v>0</v>
      </c>
      <c r="R148" s="179">
        <f ca="1">IF(NFI_Expiration=1,IF($A148&lt;VLOOKUP(J$5,NFI,5,0),1,0)*Table_NFI[[#This Row],[Sanitary Kit]],Table_NFI[[#This Row],[Sanitary Kit]])</f>
        <v>0</v>
      </c>
      <c r="S148" s="179">
        <f ca="1">IF(NFI_Expiration=1,IF($A148&lt;VLOOKUP(K$5,NFI,5,0),1,0)*Table_NFI[[#This Row],[Mosquitoe net]],Table_NFI[[#This Row],[Mosquitoe net]])</f>
        <v>0</v>
      </c>
      <c r="T148" s="179">
        <f ca="1">IF(NFI_Expiration=1,IF($A148&lt;VLOOKUP(L$5,NFI,5,0),1,0)*Table_NFI[[#This Row],[Tarpaulin]],Table_NFI[[#This Row],[Tarpaulin]])</f>
        <v>0</v>
      </c>
      <c r="U148" s="179">
        <f ca="1">IF(NFI_Expiration=1,IF($A148&lt;VLOOKUP(M$5,NFI,5,0),1,0)*Table_NFI[[#This Row],[Blanket]],Table_NFI[[#This Row],[Blanket]])</f>
        <v>0</v>
      </c>
      <c r="V148" s="179">
        <f ca="1">IF(NFI_Expiration=1,IF($A148&lt;VLOOKUP(N$5,NFI,5,0),1,0)*Table_NFI[[#This Row],[Kitchen Set]],Table_NFI[[#This Row],[Kitchen Set]])</f>
        <v>0</v>
      </c>
      <c r="W148" s="179">
        <f ca="1">IF(NFI_Expiration=1,IF($A148&lt;VLOOKUP(O$5,NFI,5,0),1,0)*Table_NFI[[#This Row],[Complementary Kit]],Table_NFI[[#This Row],[Complementary Kit]])</f>
        <v>0</v>
      </c>
    </row>
    <row r="149" spans="1:23" ht="15">
      <c r="A149" s="125">
        <f ca="1" t="shared" si="3"/>
        <v>16.433333333333334</v>
      </c>
      <c r="B149" s="115">
        <v>41189</v>
      </c>
      <c r="C149" s="91" t="s">
        <v>960</v>
      </c>
      <c r="D149" s="91"/>
      <c r="E149" s="91" t="s">
        <v>434</v>
      </c>
      <c r="F149" s="1" t="s">
        <v>456</v>
      </c>
      <c r="G149" s="91" t="s">
        <v>966</v>
      </c>
      <c r="H149" s="91"/>
      <c r="I149" s="171"/>
      <c r="J149" s="171"/>
      <c r="K149" s="171"/>
      <c r="L149" s="172">
        <v>97</v>
      </c>
      <c r="M149" s="171"/>
      <c r="N149" s="171"/>
      <c r="O149" s="171"/>
      <c r="P149" s="179">
        <f ca="1">IF(NFI_Expiration=1,IF($A149&lt;VLOOKUP(H$5,NFI,5,0),1,0)*Table_NFI[[#This Row],[Hygiene Kit]],Table_NFI[[#This Row],[Hygiene Kit]])</f>
        <v>0</v>
      </c>
      <c r="Q149" s="179">
        <f ca="1">IF(NFI_Expiration=1,IF($A149&lt;VLOOKUP(I$5,NFI,5,0),1,0)*Table_NFI[[#This Row],[NFI Core Kit]],Table_NFI[[#This Row],[NFI Core Kit]])</f>
        <v>0</v>
      </c>
      <c r="R149" s="179">
        <f ca="1">IF(NFI_Expiration=1,IF($A149&lt;VLOOKUP(J$5,NFI,5,0),1,0)*Table_NFI[[#This Row],[Sanitary Kit]],Table_NFI[[#This Row],[Sanitary Kit]])</f>
        <v>0</v>
      </c>
      <c r="S149" s="179">
        <f ca="1">IF(NFI_Expiration=1,IF($A149&lt;VLOOKUP(K$5,NFI,5,0),1,0)*Table_NFI[[#This Row],[Mosquitoe net]],Table_NFI[[#This Row],[Mosquitoe net]])</f>
        <v>0</v>
      </c>
      <c r="T149" s="179">
        <f ca="1">IF(NFI_Expiration=1,IF($A149&lt;VLOOKUP(L$5,NFI,5,0),1,0)*Table_NFI[[#This Row],[Tarpaulin]],Table_NFI[[#This Row],[Tarpaulin]])</f>
        <v>0</v>
      </c>
      <c r="U149" s="179">
        <f ca="1">IF(NFI_Expiration=1,IF($A149&lt;VLOOKUP(M$5,NFI,5,0),1,0)*Table_NFI[[#This Row],[Blanket]],Table_NFI[[#This Row],[Blanket]])</f>
        <v>0</v>
      </c>
      <c r="V149" s="179">
        <f ca="1">IF(NFI_Expiration=1,IF($A149&lt;VLOOKUP(N$5,NFI,5,0),1,0)*Table_NFI[[#This Row],[Kitchen Set]],Table_NFI[[#This Row],[Kitchen Set]])</f>
        <v>0</v>
      </c>
      <c r="W149" s="179">
        <f ca="1">IF(NFI_Expiration=1,IF($A149&lt;VLOOKUP(O$5,NFI,5,0),1,0)*Table_NFI[[#This Row],[Complementary Kit]],Table_NFI[[#This Row],[Complementary Kit]])</f>
        <v>0</v>
      </c>
    </row>
    <row r="150" spans="1:23" ht="15">
      <c r="A150" s="125">
        <f ca="1" t="shared" si="3"/>
        <v>16.466666666666665</v>
      </c>
      <c r="B150" s="115">
        <v>41188</v>
      </c>
      <c r="C150" s="91" t="s">
        <v>960</v>
      </c>
      <c r="D150" s="91"/>
      <c r="E150" s="91" t="s">
        <v>434</v>
      </c>
      <c r="F150" s="1" t="s">
        <v>460</v>
      </c>
      <c r="G150" s="91" t="s">
        <v>910</v>
      </c>
      <c r="H150" s="91"/>
      <c r="I150" s="171"/>
      <c r="J150" s="171"/>
      <c r="K150" s="171"/>
      <c r="L150" s="172">
        <v>100</v>
      </c>
      <c r="M150" s="171"/>
      <c r="N150" s="171"/>
      <c r="O150" s="171"/>
      <c r="P150" s="179">
        <f ca="1">IF(NFI_Expiration=1,IF($A150&lt;VLOOKUP(H$5,NFI,5,0),1,0)*Table_NFI[[#This Row],[Hygiene Kit]],Table_NFI[[#This Row],[Hygiene Kit]])</f>
        <v>0</v>
      </c>
      <c r="Q150" s="179">
        <f ca="1">IF(NFI_Expiration=1,IF($A150&lt;VLOOKUP(I$5,NFI,5,0),1,0)*Table_NFI[[#This Row],[NFI Core Kit]],Table_NFI[[#This Row],[NFI Core Kit]])</f>
        <v>0</v>
      </c>
      <c r="R150" s="179">
        <f ca="1">IF(NFI_Expiration=1,IF($A150&lt;VLOOKUP(J$5,NFI,5,0),1,0)*Table_NFI[[#This Row],[Sanitary Kit]],Table_NFI[[#This Row],[Sanitary Kit]])</f>
        <v>0</v>
      </c>
      <c r="S150" s="179">
        <f ca="1">IF(NFI_Expiration=1,IF($A150&lt;VLOOKUP(K$5,NFI,5,0),1,0)*Table_NFI[[#This Row],[Mosquitoe net]],Table_NFI[[#This Row],[Mosquitoe net]])</f>
        <v>0</v>
      </c>
      <c r="T150" s="179">
        <f ca="1">IF(NFI_Expiration=1,IF($A150&lt;VLOOKUP(L$5,NFI,5,0),1,0)*Table_NFI[[#This Row],[Tarpaulin]],Table_NFI[[#This Row],[Tarpaulin]])</f>
        <v>0</v>
      </c>
      <c r="U150" s="179">
        <f ca="1">IF(NFI_Expiration=1,IF($A150&lt;VLOOKUP(M$5,NFI,5,0),1,0)*Table_NFI[[#This Row],[Blanket]],Table_NFI[[#This Row],[Blanket]])</f>
        <v>0</v>
      </c>
      <c r="V150" s="179">
        <f ca="1">IF(NFI_Expiration=1,IF($A150&lt;VLOOKUP(N$5,NFI,5,0),1,0)*Table_NFI[[#This Row],[Kitchen Set]],Table_NFI[[#This Row],[Kitchen Set]])</f>
        <v>0</v>
      </c>
      <c r="W150" s="179">
        <f ca="1">IF(NFI_Expiration=1,IF($A150&lt;VLOOKUP(O$5,NFI,5,0),1,0)*Table_NFI[[#This Row],[Complementary Kit]],Table_NFI[[#This Row],[Complementary Kit]])</f>
        <v>0</v>
      </c>
    </row>
    <row r="151" spans="1:23" ht="15">
      <c r="A151" s="125">
        <f ca="1" t="shared" si="3"/>
        <v>17.433333333333334</v>
      </c>
      <c r="B151" s="115">
        <v>41159</v>
      </c>
      <c r="C151" s="91" t="s">
        <v>960</v>
      </c>
      <c r="D151" s="91"/>
      <c r="E151" s="91" t="s">
        <v>434</v>
      </c>
      <c r="F151" s="1" t="s">
        <v>460</v>
      </c>
      <c r="G151" s="91" t="s">
        <v>507</v>
      </c>
      <c r="H151" s="91"/>
      <c r="I151" s="171"/>
      <c r="J151" s="171"/>
      <c r="K151" s="171"/>
      <c r="L151" s="172">
        <v>55</v>
      </c>
      <c r="M151" s="171"/>
      <c r="N151" s="171"/>
      <c r="O151" s="171"/>
      <c r="P151" s="179">
        <f ca="1">IF(NFI_Expiration=1,IF($A151&lt;VLOOKUP(H$5,NFI,5,0),1,0)*Table_NFI[[#This Row],[Hygiene Kit]],Table_NFI[[#This Row],[Hygiene Kit]])</f>
        <v>0</v>
      </c>
      <c r="Q151" s="179">
        <f ca="1">IF(NFI_Expiration=1,IF($A151&lt;VLOOKUP(I$5,NFI,5,0),1,0)*Table_NFI[[#This Row],[NFI Core Kit]],Table_NFI[[#This Row],[NFI Core Kit]])</f>
        <v>0</v>
      </c>
      <c r="R151" s="179">
        <f ca="1">IF(NFI_Expiration=1,IF($A151&lt;VLOOKUP(J$5,NFI,5,0),1,0)*Table_NFI[[#This Row],[Sanitary Kit]],Table_NFI[[#This Row],[Sanitary Kit]])</f>
        <v>0</v>
      </c>
      <c r="S151" s="179">
        <f ca="1">IF(NFI_Expiration=1,IF($A151&lt;VLOOKUP(K$5,NFI,5,0),1,0)*Table_NFI[[#This Row],[Mosquitoe net]],Table_NFI[[#This Row],[Mosquitoe net]])</f>
        <v>0</v>
      </c>
      <c r="T151" s="179">
        <f ca="1">IF(NFI_Expiration=1,IF($A151&lt;VLOOKUP(L$5,NFI,5,0),1,0)*Table_NFI[[#This Row],[Tarpaulin]],Table_NFI[[#This Row],[Tarpaulin]])</f>
        <v>0</v>
      </c>
      <c r="U151" s="179">
        <f ca="1">IF(NFI_Expiration=1,IF($A151&lt;VLOOKUP(M$5,NFI,5,0),1,0)*Table_NFI[[#This Row],[Blanket]],Table_NFI[[#This Row],[Blanket]])</f>
        <v>0</v>
      </c>
      <c r="V151" s="179">
        <f ca="1">IF(NFI_Expiration=1,IF($A151&lt;VLOOKUP(N$5,NFI,5,0),1,0)*Table_NFI[[#This Row],[Kitchen Set]],Table_NFI[[#This Row],[Kitchen Set]])</f>
        <v>0</v>
      </c>
      <c r="W151" s="179">
        <f ca="1">IF(NFI_Expiration=1,IF($A151&lt;VLOOKUP(O$5,NFI,5,0),1,0)*Table_NFI[[#This Row],[Complementary Kit]],Table_NFI[[#This Row],[Complementary Kit]])</f>
        <v>0</v>
      </c>
    </row>
    <row r="152" spans="1:23" ht="15">
      <c r="A152" s="125">
        <f ca="1" t="shared" si="3"/>
        <v>17.5</v>
      </c>
      <c r="B152" s="115">
        <v>41157</v>
      </c>
      <c r="C152" s="117" t="s">
        <v>960</v>
      </c>
      <c r="D152" s="91"/>
      <c r="E152" s="122" t="s">
        <v>434</v>
      </c>
      <c r="F152" s="1" t="s">
        <v>460</v>
      </c>
      <c r="G152" s="91" t="s">
        <v>507</v>
      </c>
      <c r="H152" s="91"/>
      <c r="I152" s="171"/>
      <c r="J152" s="171"/>
      <c r="K152" s="171"/>
      <c r="L152" s="171"/>
      <c r="M152" s="171">
        <v>65</v>
      </c>
      <c r="N152" s="171"/>
      <c r="O152" s="171"/>
      <c r="P152" s="179">
        <f ca="1">IF(NFI_Expiration=1,IF($A152&lt;VLOOKUP(H$5,NFI,5,0),1,0)*Table_NFI[[#This Row],[Hygiene Kit]],Table_NFI[[#This Row],[Hygiene Kit]])</f>
        <v>0</v>
      </c>
      <c r="Q152" s="179">
        <f ca="1">IF(NFI_Expiration=1,IF($A152&lt;VLOOKUP(I$5,NFI,5,0),1,0)*Table_NFI[[#This Row],[NFI Core Kit]],Table_NFI[[#This Row],[NFI Core Kit]])</f>
        <v>0</v>
      </c>
      <c r="R152" s="179">
        <f ca="1">IF(NFI_Expiration=1,IF($A152&lt;VLOOKUP(J$5,NFI,5,0),1,0)*Table_NFI[[#This Row],[Sanitary Kit]],Table_NFI[[#This Row],[Sanitary Kit]])</f>
        <v>0</v>
      </c>
      <c r="S152" s="179">
        <f ca="1">IF(NFI_Expiration=1,IF($A152&lt;VLOOKUP(K$5,NFI,5,0),1,0)*Table_NFI[[#This Row],[Mosquitoe net]],Table_NFI[[#This Row],[Mosquitoe net]])</f>
        <v>0</v>
      </c>
      <c r="T152" s="179">
        <f ca="1">IF(NFI_Expiration=1,IF($A152&lt;VLOOKUP(L$5,NFI,5,0),1,0)*Table_NFI[[#This Row],[Tarpaulin]],Table_NFI[[#This Row],[Tarpaulin]])</f>
        <v>0</v>
      </c>
      <c r="U152" s="179">
        <f ca="1">IF(NFI_Expiration=1,IF($A152&lt;VLOOKUP(M$5,NFI,5,0),1,0)*Table_NFI[[#This Row],[Blanket]],Table_NFI[[#This Row],[Blanket]])</f>
        <v>0</v>
      </c>
      <c r="V152" s="179">
        <f ca="1">IF(NFI_Expiration=1,IF($A152&lt;VLOOKUP(N$5,NFI,5,0),1,0)*Table_NFI[[#This Row],[Kitchen Set]],Table_NFI[[#This Row],[Kitchen Set]])</f>
        <v>0</v>
      </c>
      <c r="W152" s="179">
        <f ca="1">IF(NFI_Expiration=1,IF($A152&lt;VLOOKUP(O$5,NFI,5,0),1,0)*Table_NFI[[#This Row],[Complementary Kit]],Table_NFI[[#This Row],[Complementary Kit]])</f>
        <v>0</v>
      </c>
    </row>
    <row r="153" spans="1:23" ht="15">
      <c r="A153" s="125">
        <f ca="1" t="shared" si="3"/>
        <v>17.633333333333333</v>
      </c>
      <c r="B153" s="115">
        <v>41153</v>
      </c>
      <c r="C153" s="91" t="s">
        <v>964</v>
      </c>
      <c r="D153" s="91" t="s">
        <v>960</v>
      </c>
      <c r="E153" s="91" t="s">
        <v>434</v>
      </c>
      <c r="F153" s="1" t="s">
        <v>460</v>
      </c>
      <c r="G153" s="91" t="s">
        <v>510</v>
      </c>
      <c r="H153" s="91"/>
      <c r="I153" s="171"/>
      <c r="J153" s="171"/>
      <c r="K153" s="171"/>
      <c r="L153" s="171"/>
      <c r="M153" s="171">
        <v>60</v>
      </c>
      <c r="N153" s="171"/>
      <c r="O153" s="171"/>
      <c r="P153" s="179">
        <f ca="1">IF(NFI_Expiration=1,IF($A153&lt;VLOOKUP(H$5,NFI,5,0),1,0)*Table_NFI[[#This Row],[Hygiene Kit]],Table_NFI[[#This Row],[Hygiene Kit]])</f>
        <v>0</v>
      </c>
      <c r="Q153" s="179">
        <f ca="1">IF(NFI_Expiration=1,IF($A153&lt;VLOOKUP(I$5,NFI,5,0),1,0)*Table_NFI[[#This Row],[NFI Core Kit]],Table_NFI[[#This Row],[NFI Core Kit]])</f>
        <v>0</v>
      </c>
      <c r="R153" s="179">
        <f ca="1">IF(NFI_Expiration=1,IF($A153&lt;VLOOKUP(J$5,NFI,5,0),1,0)*Table_NFI[[#This Row],[Sanitary Kit]],Table_NFI[[#This Row],[Sanitary Kit]])</f>
        <v>0</v>
      </c>
      <c r="S153" s="179">
        <f ca="1">IF(NFI_Expiration=1,IF($A153&lt;VLOOKUP(K$5,NFI,5,0),1,0)*Table_NFI[[#This Row],[Mosquitoe net]],Table_NFI[[#This Row],[Mosquitoe net]])</f>
        <v>0</v>
      </c>
      <c r="T153" s="179">
        <f ca="1">IF(NFI_Expiration=1,IF($A153&lt;VLOOKUP(L$5,NFI,5,0),1,0)*Table_NFI[[#This Row],[Tarpaulin]],Table_NFI[[#This Row],[Tarpaulin]])</f>
        <v>0</v>
      </c>
      <c r="U153" s="179">
        <f ca="1">IF(NFI_Expiration=1,IF($A153&lt;VLOOKUP(M$5,NFI,5,0),1,0)*Table_NFI[[#This Row],[Blanket]],Table_NFI[[#This Row],[Blanket]])</f>
        <v>0</v>
      </c>
      <c r="V153" s="179">
        <f ca="1">IF(NFI_Expiration=1,IF($A153&lt;VLOOKUP(N$5,NFI,5,0),1,0)*Table_NFI[[#This Row],[Kitchen Set]],Table_NFI[[#This Row],[Kitchen Set]])</f>
        <v>0</v>
      </c>
      <c r="W153" s="179">
        <f ca="1">IF(NFI_Expiration=1,IF($A153&lt;VLOOKUP(O$5,NFI,5,0),1,0)*Table_NFI[[#This Row],[Complementary Kit]],Table_NFI[[#This Row],[Complementary Kit]])</f>
        <v>0</v>
      </c>
    </row>
    <row r="154" spans="1:23" ht="15">
      <c r="A154" s="125">
        <f ca="1" t="shared" si="3"/>
        <v>17.866666666666667</v>
      </c>
      <c r="B154" s="115">
        <v>41146</v>
      </c>
      <c r="C154" s="91" t="s">
        <v>960</v>
      </c>
      <c r="D154" s="91"/>
      <c r="E154" s="91" t="s">
        <v>434</v>
      </c>
      <c r="F154" s="1" t="s">
        <v>456</v>
      </c>
      <c r="G154" s="91" t="s">
        <v>493</v>
      </c>
      <c r="H154" s="91"/>
      <c r="I154" s="171"/>
      <c r="J154" s="171"/>
      <c r="K154" s="171"/>
      <c r="L154" s="172">
        <v>230</v>
      </c>
      <c r="M154" s="171"/>
      <c r="N154" s="171"/>
      <c r="O154" s="171"/>
      <c r="P154" s="179">
        <f ca="1">IF(NFI_Expiration=1,IF($A154&lt;VLOOKUP(H$5,NFI,5,0),1,0)*Table_NFI[[#This Row],[Hygiene Kit]],Table_NFI[[#This Row],[Hygiene Kit]])</f>
        <v>0</v>
      </c>
      <c r="Q154" s="179">
        <f ca="1">IF(NFI_Expiration=1,IF($A154&lt;VLOOKUP(I$5,NFI,5,0),1,0)*Table_NFI[[#This Row],[NFI Core Kit]],Table_NFI[[#This Row],[NFI Core Kit]])</f>
        <v>0</v>
      </c>
      <c r="R154" s="179">
        <f ca="1">IF(NFI_Expiration=1,IF($A154&lt;VLOOKUP(J$5,NFI,5,0),1,0)*Table_NFI[[#This Row],[Sanitary Kit]],Table_NFI[[#This Row],[Sanitary Kit]])</f>
        <v>0</v>
      </c>
      <c r="S154" s="179">
        <f ca="1">IF(NFI_Expiration=1,IF($A154&lt;VLOOKUP(K$5,NFI,5,0),1,0)*Table_NFI[[#This Row],[Mosquitoe net]],Table_NFI[[#This Row],[Mosquitoe net]])</f>
        <v>0</v>
      </c>
      <c r="T154" s="179">
        <f ca="1">IF(NFI_Expiration=1,IF($A154&lt;VLOOKUP(L$5,NFI,5,0),1,0)*Table_NFI[[#This Row],[Tarpaulin]],Table_NFI[[#This Row],[Tarpaulin]])</f>
        <v>0</v>
      </c>
      <c r="U154" s="179">
        <f ca="1">IF(NFI_Expiration=1,IF($A154&lt;VLOOKUP(M$5,NFI,5,0),1,0)*Table_NFI[[#This Row],[Blanket]],Table_NFI[[#This Row],[Blanket]])</f>
        <v>0</v>
      </c>
      <c r="V154" s="179">
        <f ca="1">IF(NFI_Expiration=1,IF($A154&lt;VLOOKUP(N$5,NFI,5,0),1,0)*Table_NFI[[#This Row],[Kitchen Set]],Table_NFI[[#This Row],[Kitchen Set]])</f>
        <v>0</v>
      </c>
      <c r="W154" s="179">
        <f ca="1">IF(NFI_Expiration=1,IF($A154&lt;VLOOKUP(O$5,NFI,5,0),1,0)*Table_NFI[[#This Row],[Complementary Kit]],Table_NFI[[#This Row],[Complementary Kit]])</f>
        <v>0</v>
      </c>
    </row>
    <row r="155" spans="1:23" ht="15">
      <c r="A155" s="125">
        <f ca="1" t="shared" si="3"/>
        <v>17.866666666666667</v>
      </c>
      <c r="B155" s="115">
        <v>41146</v>
      </c>
      <c r="C155" s="91" t="s">
        <v>960</v>
      </c>
      <c r="D155" s="91"/>
      <c r="E155" s="91" t="s">
        <v>434</v>
      </c>
      <c r="F155" s="1" t="s">
        <v>456</v>
      </c>
      <c r="G155" s="91" t="s">
        <v>495</v>
      </c>
      <c r="H155" s="91"/>
      <c r="I155" s="171"/>
      <c r="J155" s="171"/>
      <c r="K155" s="171"/>
      <c r="L155" s="172">
        <v>107</v>
      </c>
      <c r="M155" s="171"/>
      <c r="N155" s="171"/>
      <c r="O155" s="171"/>
      <c r="P155" s="179">
        <f ca="1">IF(NFI_Expiration=1,IF($A155&lt;VLOOKUP(H$5,NFI,5,0),1,0)*Table_NFI[[#This Row],[Hygiene Kit]],Table_NFI[[#This Row],[Hygiene Kit]])</f>
        <v>0</v>
      </c>
      <c r="Q155" s="179">
        <f ca="1">IF(NFI_Expiration=1,IF($A155&lt;VLOOKUP(I$5,NFI,5,0),1,0)*Table_NFI[[#This Row],[NFI Core Kit]],Table_NFI[[#This Row],[NFI Core Kit]])</f>
        <v>0</v>
      </c>
      <c r="R155" s="179">
        <f ca="1">IF(NFI_Expiration=1,IF($A155&lt;VLOOKUP(J$5,NFI,5,0),1,0)*Table_NFI[[#This Row],[Sanitary Kit]],Table_NFI[[#This Row],[Sanitary Kit]])</f>
        <v>0</v>
      </c>
      <c r="S155" s="179">
        <f ca="1">IF(NFI_Expiration=1,IF($A155&lt;VLOOKUP(K$5,NFI,5,0),1,0)*Table_NFI[[#This Row],[Mosquitoe net]],Table_NFI[[#This Row],[Mosquitoe net]])</f>
        <v>0</v>
      </c>
      <c r="T155" s="179">
        <f ca="1">IF(NFI_Expiration=1,IF($A155&lt;VLOOKUP(L$5,NFI,5,0),1,0)*Table_NFI[[#This Row],[Tarpaulin]],Table_NFI[[#This Row],[Tarpaulin]])</f>
        <v>0</v>
      </c>
      <c r="U155" s="179">
        <f ca="1">IF(NFI_Expiration=1,IF($A155&lt;VLOOKUP(M$5,NFI,5,0),1,0)*Table_NFI[[#This Row],[Blanket]],Table_NFI[[#This Row],[Blanket]])</f>
        <v>0</v>
      </c>
      <c r="V155" s="179">
        <f ca="1">IF(NFI_Expiration=1,IF($A155&lt;VLOOKUP(N$5,NFI,5,0),1,0)*Table_NFI[[#This Row],[Kitchen Set]],Table_NFI[[#This Row],[Kitchen Set]])</f>
        <v>0</v>
      </c>
      <c r="W155" s="179">
        <f ca="1">IF(NFI_Expiration=1,IF($A155&lt;VLOOKUP(O$5,NFI,5,0),1,0)*Table_NFI[[#This Row],[Complementary Kit]],Table_NFI[[#This Row],[Complementary Kit]])</f>
        <v>0</v>
      </c>
    </row>
    <row r="156" spans="1:23" ht="15">
      <c r="A156" s="125">
        <f ca="1" t="shared" si="3"/>
        <v>17.866666666666667</v>
      </c>
      <c r="B156" s="115">
        <v>41146</v>
      </c>
      <c r="C156" s="91" t="s">
        <v>960</v>
      </c>
      <c r="D156" s="91"/>
      <c r="E156" s="91" t="s">
        <v>434</v>
      </c>
      <c r="F156" s="1" t="s">
        <v>456</v>
      </c>
      <c r="G156" s="91" t="s">
        <v>496</v>
      </c>
      <c r="H156" s="91"/>
      <c r="I156" s="171"/>
      <c r="J156" s="171"/>
      <c r="K156" s="171"/>
      <c r="L156" s="172">
        <v>144</v>
      </c>
      <c r="M156" s="171"/>
      <c r="N156" s="171"/>
      <c r="O156" s="171"/>
      <c r="P156" s="179">
        <f ca="1">IF(NFI_Expiration=1,IF($A156&lt;VLOOKUP(H$5,NFI,5,0),1,0)*Table_NFI[[#This Row],[Hygiene Kit]],Table_NFI[[#This Row],[Hygiene Kit]])</f>
        <v>0</v>
      </c>
      <c r="Q156" s="179">
        <f ca="1">IF(NFI_Expiration=1,IF($A156&lt;VLOOKUP(I$5,NFI,5,0),1,0)*Table_NFI[[#This Row],[NFI Core Kit]],Table_NFI[[#This Row],[NFI Core Kit]])</f>
        <v>0</v>
      </c>
      <c r="R156" s="179">
        <f ca="1">IF(NFI_Expiration=1,IF($A156&lt;VLOOKUP(J$5,NFI,5,0),1,0)*Table_NFI[[#This Row],[Sanitary Kit]],Table_NFI[[#This Row],[Sanitary Kit]])</f>
        <v>0</v>
      </c>
      <c r="S156" s="179">
        <f ca="1">IF(NFI_Expiration=1,IF($A156&lt;VLOOKUP(K$5,NFI,5,0),1,0)*Table_NFI[[#This Row],[Mosquitoe net]],Table_NFI[[#This Row],[Mosquitoe net]])</f>
        <v>0</v>
      </c>
      <c r="T156" s="179">
        <f ca="1">IF(NFI_Expiration=1,IF($A156&lt;VLOOKUP(L$5,NFI,5,0),1,0)*Table_NFI[[#This Row],[Tarpaulin]],Table_NFI[[#This Row],[Tarpaulin]])</f>
        <v>0</v>
      </c>
      <c r="U156" s="179">
        <f ca="1">IF(NFI_Expiration=1,IF($A156&lt;VLOOKUP(M$5,NFI,5,0),1,0)*Table_NFI[[#This Row],[Blanket]],Table_NFI[[#This Row],[Blanket]])</f>
        <v>0</v>
      </c>
      <c r="V156" s="179">
        <f ca="1">IF(NFI_Expiration=1,IF($A156&lt;VLOOKUP(N$5,NFI,5,0),1,0)*Table_NFI[[#This Row],[Kitchen Set]],Table_NFI[[#This Row],[Kitchen Set]])</f>
        <v>0</v>
      </c>
      <c r="W156" s="179">
        <f ca="1">IF(NFI_Expiration=1,IF($A156&lt;VLOOKUP(O$5,NFI,5,0),1,0)*Table_NFI[[#This Row],[Complementary Kit]],Table_NFI[[#This Row],[Complementary Kit]])</f>
        <v>0</v>
      </c>
    </row>
    <row r="157" spans="1:23" ht="15">
      <c r="A157" s="125">
        <f ca="1" t="shared" si="3"/>
        <v>17.866666666666667</v>
      </c>
      <c r="B157" s="115">
        <v>41146</v>
      </c>
      <c r="C157" s="91" t="s">
        <v>960</v>
      </c>
      <c r="D157" s="91"/>
      <c r="E157" s="91" t="s">
        <v>434</v>
      </c>
      <c r="F157" s="1" t="s">
        <v>456</v>
      </c>
      <c r="G157" s="91" t="s">
        <v>494</v>
      </c>
      <c r="H157" s="91"/>
      <c r="I157" s="171"/>
      <c r="J157" s="171"/>
      <c r="K157" s="171"/>
      <c r="L157" s="172">
        <v>114</v>
      </c>
      <c r="M157" s="171"/>
      <c r="N157" s="171"/>
      <c r="O157" s="171"/>
      <c r="P157" s="179">
        <f ca="1">IF(NFI_Expiration=1,IF($A157&lt;VLOOKUP(H$5,NFI,5,0),1,0)*Table_NFI[[#This Row],[Hygiene Kit]],Table_NFI[[#This Row],[Hygiene Kit]])</f>
        <v>0</v>
      </c>
      <c r="Q157" s="179">
        <f ca="1">IF(NFI_Expiration=1,IF($A157&lt;VLOOKUP(I$5,NFI,5,0),1,0)*Table_NFI[[#This Row],[NFI Core Kit]],Table_NFI[[#This Row],[NFI Core Kit]])</f>
        <v>0</v>
      </c>
      <c r="R157" s="179">
        <f ca="1">IF(NFI_Expiration=1,IF($A157&lt;VLOOKUP(J$5,NFI,5,0),1,0)*Table_NFI[[#This Row],[Sanitary Kit]],Table_NFI[[#This Row],[Sanitary Kit]])</f>
        <v>0</v>
      </c>
      <c r="S157" s="179">
        <f ca="1">IF(NFI_Expiration=1,IF($A157&lt;VLOOKUP(K$5,NFI,5,0),1,0)*Table_NFI[[#This Row],[Mosquitoe net]],Table_NFI[[#This Row],[Mosquitoe net]])</f>
        <v>0</v>
      </c>
      <c r="T157" s="179">
        <f ca="1">IF(NFI_Expiration=1,IF($A157&lt;VLOOKUP(L$5,NFI,5,0),1,0)*Table_NFI[[#This Row],[Tarpaulin]],Table_NFI[[#This Row],[Tarpaulin]])</f>
        <v>0</v>
      </c>
      <c r="U157" s="179">
        <f ca="1">IF(NFI_Expiration=1,IF($A157&lt;VLOOKUP(M$5,NFI,5,0),1,0)*Table_NFI[[#This Row],[Blanket]],Table_NFI[[#This Row],[Blanket]])</f>
        <v>0</v>
      </c>
      <c r="V157" s="179">
        <f ca="1">IF(NFI_Expiration=1,IF($A157&lt;VLOOKUP(N$5,NFI,5,0),1,0)*Table_NFI[[#This Row],[Kitchen Set]],Table_NFI[[#This Row],[Kitchen Set]])</f>
        <v>0</v>
      </c>
      <c r="W157" s="179">
        <f ca="1">IF(NFI_Expiration=1,IF($A157&lt;VLOOKUP(O$5,NFI,5,0),1,0)*Table_NFI[[#This Row],[Complementary Kit]],Table_NFI[[#This Row],[Complementary Kit]])</f>
        <v>0</v>
      </c>
    </row>
    <row r="158" spans="1:23" ht="15">
      <c r="A158" s="125">
        <f ca="1" t="shared" si="3"/>
        <v>17.933333333333334</v>
      </c>
      <c r="B158" s="115">
        <v>41144</v>
      </c>
      <c r="C158" s="91" t="s">
        <v>960</v>
      </c>
      <c r="D158" s="91"/>
      <c r="E158" s="91" t="s">
        <v>434</v>
      </c>
      <c r="F158" s="1" t="s">
        <v>460</v>
      </c>
      <c r="G158" s="91" t="s">
        <v>508</v>
      </c>
      <c r="H158" s="91"/>
      <c r="I158" s="171"/>
      <c r="J158" s="171"/>
      <c r="K158" s="171"/>
      <c r="L158" s="172">
        <v>805</v>
      </c>
      <c r="M158" s="171"/>
      <c r="N158" s="171"/>
      <c r="O158" s="171"/>
      <c r="P158" s="179">
        <f ca="1">IF(NFI_Expiration=1,IF($A158&lt;VLOOKUP(H$5,NFI,5,0),1,0)*Table_NFI[[#This Row],[Hygiene Kit]],Table_NFI[[#This Row],[Hygiene Kit]])</f>
        <v>0</v>
      </c>
      <c r="Q158" s="179">
        <f ca="1">IF(NFI_Expiration=1,IF($A158&lt;VLOOKUP(I$5,NFI,5,0),1,0)*Table_NFI[[#This Row],[NFI Core Kit]],Table_NFI[[#This Row],[NFI Core Kit]])</f>
        <v>0</v>
      </c>
      <c r="R158" s="179">
        <f ca="1">IF(NFI_Expiration=1,IF($A158&lt;VLOOKUP(J$5,NFI,5,0),1,0)*Table_NFI[[#This Row],[Sanitary Kit]],Table_NFI[[#This Row],[Sanitary Kit]])</f>
        <v>0</v>
      </c>
      <c r="S158" s="179">
        <f ca="1">IF(NFI_Expiration=1,IF($A158&lt;VLOOKUP(K$5,NFI,5,0),1,0)*Table_NFI[[#This Row],[Mosquitoe net]],Table_NFI[[#This Row],[Mosquitoe net]])</f>
        <v>0</v>
      </c>
      <c r="T158" s="179">
        <f ca="1">IF(NFI_Expiration=1,IF($A158&lt;VLOOKUP(L$5,NFI,5,0),1,0)*Table_NFI[[#This Row],[Tarpaulin]],Table_NFI[[#This Row],[Tarpaulin]])</f>
        <v>0</v>
      </c>
      <c r="U158" s="179">
        <f ca="1">IF(NFI_Expiration=1,IF($A158&lt;VLOOKUP(M$5,NFI,5,0),1,0)*Table_NFI[[#This Row],[Blanket]],Table_NFI[[#This Row],[Blanket]])</f>
        <v>0</v>
      </c>
      <c r="V158" s="179">
        <f ca="1">IF(NFI_Expiration=1,IF($A158&lt;VLOOKUP(N$5,NFI,5,0),1,0)*Table_NFI[[#This Row],[Kitchen Set]],Table_NFI[[#This Row],[Kitchen Set]])</f>
        <v>0</v>
      </c>
      <c r="W158" s="179">
        <f ca="1">IF(NFI_Expiration=1,IF($A158&lt;VLOOKUP(O$5,NFI,5,0),1,0)*Table_NFI[[#This Row],[Complementary Kit]],Table_NFI[[#This Row],[Complementary Kit]])</f>
        <v>0</v>
      </c>
    </row>
    <row r="159" spans="1:23" ht="15">
      <c r="A159" s="125">
        <f ca="1" t="shared" si="3"/>
        <v>18.533333333333335</v>
      </c>
      <c r="B159" s="115">
        <v>41126</v>
      </c>
      <c r="C159" s="91" t="s">
        <v>960</v>
      </c>
      <c r="D159" s="91"/>
      <c r="E159" s="91" t="s">
        <v>434</v>
      </c>
      <c r="F159" s="1" t="s">
        <v>460</v>
      </c>
      <c r="G159" s="91" t="s">
        <v>515</v>
      </c>
      <c r="H159" s="91"/>
      <c r="I159" s="171"/>
      <c r="J159" s="171"/>
      <c r="K159" s="171"/>
      <c r="L159" s="172">
        <v>98</v>
      </c>
      <c r="M159" s="171"/>
      <c r="N159" s="171"/>
      <c r="O159" s="171"/>
      <c r="P159" s="179">
        <f ca="1">IF(NFI_Expiration=1,IF($A159&lt;VLOOKUP(H$5,NFI,5,0),1,0)*Table_NFI[[#This Row],[Hygiene Kit]],Table_NFI[[#This Row],[Hygiene Kit]])</f>
        <v>0</v>
      </c>
      <c r="Q159" s="179">
        <f ca="1">IF(NFI_Expiration=1,IF($A159&lt;VLOOKUP(I$5,NFI,5,0),1,0)*Table_NFI[[#This Row],[NFI Core Kit]],Table_NFI[[#This Row],[NFI Core Kit]])</f>
        <v>0</v>
      </c>
      <c r="R159" s="179">
        <f ca="1">IF(NFI_Expiration=1,IF($A159&lt;VLOOKUP(J$5,NFI,5,0),1,0)*Table_NFI[[#This Row],[Sanitary Kit]],Table_NFI[[#This Row],[Sanitary Kit]])</f>
        <v>0</v>
      </c>
      <c r="S159" s="179">
        <f ca="1">IF(NFI_Expiration=1,IF($A159&lt;VLOOKUP(K$5,NFI,5,0),1,0)*Table_NFI[[#This Row],[Mosquitoe net]],Table_NFI[[#This Row],[Mosquitoe net]])</f>
        <v>0</v>
      </c>
      <c r="T159" s="179">
        <f ca="1">IF(NFI_Expiration=1,IF($A159&lt;VLOOKUP(L$5,NFI,5,0),1,0)*Table_NFI[[#This Row],[Tarpaulin]],Table_NFI[[#This Row],[Tarpaulin]])</f>
        <v>0</v>
      </c>
      <c r="U159" s="179">
        <f ca="1">IF(NFI_Expiration=1,IF($A159&lt;VLOOKUP(M$5,NFI,5,0),1,0)*Table_NFI[[#This Row],[Blanket]],Table_NFI[[#This Row],[Blanket]])</f>
        <v>0</v>
      </c>
      <c r="V159" s="179">
        <f ca="1">IF(NFI_Expiration=1,IF($A159&lt;VLOOKUP(N$5,NFI,5,0),1,0)*Table_NFI[[#This Row],[Kitchen Set]],Table_NFI[[#This Row],[Kitchen Set]])</f>
        <v>0</v>
      </c>
      <c r="W159" s="179">
        <f ca="1">IF(NFI_Expiration=1,IF($A159&lt;VLOOKUP(O$5,NFI,5,0),1,0)*Table_NFI[[#This Row],[Complementary Kit]],Table_NFI[[#This Row],[Complementary Kit]])</f>
        <v>0</v>
      </c>
    </row>
    <row r="160" spans="1:23" ht="15">
      <c r="A160" s="125">
        <f ca="1" t="shared" si="3"/>
        <v>18.733333333333334</v>
      </c>
      <c r="B160" s="115">
        <v>41120</v>
      </c>
      <c r="C160" s="91" t="s">
        <v>960</v>
      </c>
      <c r="D160" s="91"/>
      <c r="E160" s="91" t="s">
        <v>434</v>
      </c>
      <c r="F160" s="1" t="s">
        <v>460</v>
      </c>
      <c r="G160" s="91" t="s">
        <v>512</v>
      </c>
      <c r="H160" s="91"/>
      <c r="I160" s="171"/>
      <c r="J160" s="171"/>
      <c r="K160" s="171"/>
      <c r="L160" s="172">
        <v>461</v>
      </c>
      <c r="M160" s="171"/>
      <c r="N160" s="171"/>
      <c r="O160" s="171"/>
      <c r="P160" s="179">
        <f ca="1">IF(NFI_Expiration=1,IF($A160&lt;VLOOKUP(H$5,NFI,5,0),1,0)*Table_NFI[[#This Row],[Hygiene Kit]],Table_NFI[[#This Row],[Hygiene Kit]])</f>
        <v>0</v>
      </c>
      <c r="Q160" s="179">
        <f ca="1">IF(NFI_Expiration=1,IF($A160&lt;VLOOKUP(I$5,NFI,5,0),1,0)*Table_NFI[[#This Row],[NFI Core Kit]],Table_NFI[[#This Row],[NFI Core Kit]])</f>
        <v>0</v>
      </c>
      <c r="R160" s="179">
        <f ca="1">IF(NFI_Expiration=1,IF($A160&lt;VLOOKUP(J$5,NFI,5,0),1,0)*Table_NFI[[#This Row],[Sanitary Kit]],Table_NFI[[#This Row],[Sanitary Kit]])</f>
        <v>0</v>
      </c>
      <c r="S160" s="179">
        <f ca="1">IF(NFI_Expiration=1,IF($A160&lt;VLOOKUP(K$5,NFI,5,0),1,0)*Table_NFI[[#This Row],[Mosquitoe net]],Table_NFI[[#This Row],[Mosquitoe net]])</f>
        <v>0</v>
      </c>
      <c r="T160" s="179">
        <f ca="1">IF(NFI_Expiration=1,IF($A160&lt;VLOOKUP(L$5,NFI,5,0),1,0)*Table_NFI[[#This Row],[Tarpaulin]],Table_NFI[[#This Row],[Tarpaulin]])</f>
        <v>0</v>
      </c>
      <c r="U160" s="179">
        <f ca="1">IF(NFI_Expiration=1,IF($A160&lt;VLOOKUP(M$5,NFI,5,0),1,0)*Table_NFI[[#This Row],[Blanket]],Table_NFI[[#This Row],[Blanket]])</f>
        <v>0</v>
      </c>
      <c r="V160" s="179">
        <f ca="1">IF(NFI_Expiration=1,IF($A160&lt;VLOOKUP(N$5,NFI,5,0),1,0)*Table_NFI[[#This Row],[Kitchen Set]],Table_NFI[[#This Row],[Kitchen Set]])</f>
        <v>0</v>
      </c>
      <c r="W160" s="179">
        <f ca="1">IF(NFI_Expiration=1,IF($A160&lt;VLOOKUP(O$5,NFI,5,0),1,0)*Table_NFI[[#This Row],[Complementary Kit]],Table_NFI[[#This Row],[Complementary Kit]])</f>
        <v>0</v>
      </c>
    </row>
    <row r="161" spans="1:23" ht="15">
      <c r="A161" s="125">
        <f ca="1" t="shared" si="3"/>
        <v>18.733333333333334</v>
      </c>
      <c r="B161" s="115">
        <v>41120</v>
      </c>
      <c r="C161" s="91" t="s">
        <v>960</v>
      </c>
      <c r="D161" s="91"/>
      <c r="E161" s="91" t="s">
        <v>434</v>
      </c>
      <c r="F161" s="1" t="s">
        <v>460</v>
      </c>
      <c r="G161" s="91" t="s">
        <v>515</v>
      </c>
      <c r="H161" s="91"/>
      <c r="I161" s="171"/>
      <c r="J161" s="171"/>
      <c r="K161" s="171"/>
      <c r="L161" s="172">
        <v>11</v>
      </c>
      <c r="M161" s="171"/>
      <c r="N161" s="171"/>
      <c r="O161" s="171"/>
      <c r="P161" s="179">
        <f ca="1">IF(NFI_Expiration=1,IF($A161&lt;VLOOKUP(H$5,NFI,5,0),1,0)*Table_NFI[[#This Row],[Hygiene Kit]],Table_NFI[[#This Row],[Hygiene Kit]])</f>
        <v>0</v>
      </c>
      <c r="Q161" s="179">
        <f ca="1">IF(NFI_Expiration=1,IF($A161&lt;VLOOKUP(I$5,NFI,5,0),1,0)*Table_NFI[[#This Row],[NFI Core Kit]],Table_NFI[[#This Row],[NFI Core Kit]])</f>
        <v>0</v>
      </c>
      <c r="R161" s="179">
        <f ca="1">IF(NFI_Expiration=1,IF($A161&lt;VLOOKUP(J$5,NFI,5,0),1,0)*Table_NFI[[#This Row],[Sanitary Kit]],Table_NFI[[#This Row],[Sanitary Kit]])</f>
        <v>0</v>
      </c>
      <c r="S161" s="179">
        <f ca="1">IF(NFI_Expiration=1,IF($A161&lt;VLOOKUP(K$5,NFI,5,0),1,0)*Table_NFI[[#This Row],[Mosquitoe net]],Table_NFI[[#This Row],[Mosquitoe net]])</f>
        <v>0</v>
      </c>
      <c r="T161" s="179">
        <f ca="1">IF(NFI_Expiration=1,IF($A161&lt;VLOOKUP(L$5,NFI,5,0),1,0)*Table_NFI[[#This Row],[Tarpaulin]],Table_NFI[[#This Row],[Tarpaulin]])</f>
        <v>0</v>
      </c>
      <c r="U161" s="179">
        <f ca="1">IF(NFI_Expiration=1,IF($A161&lt;VLOOKUP(M$5,NFI,5,0),1,0)*Table_NFI[[#This Row],[Blanket]],Table_NFI[[#This Row],[Blanket]])</f>
        <v>0</v>
      </c>
      <c r="V161" s="179">
        <f ca="1">IF(NFI_Expiration=1,IF($A161&lt;VLOOKUP(N$5,NFI,5,0),1,0)*Table_NFI[[#This Row],[Kitchen Set]],Table_NFI[[#This Row],[Kitchen Set]])</f>
        <v>0</v>
      </c>
      <c r="W161" s="179">
        <f ca="1">IF(NFI_Expiration=1,IF($A161&lt;VLOOKUP(O$5,NFI,5,0),1,0)*Table_NFI[[#This Row],[Complementary Kit]],Table_NFI[[#This Row],[Complementary Kit]])</f>
        <v>0</v>
      </c>
    </row>
    <row r="162" spans="1:23" ht="15">
      <c r="A162" s="125">
        <f ca="1" t="shared" si="3"/>
        <v>18.766666666666666</v>
      </c>
      <c r="B162" s="115">
        <v>41119</v>
      </c>
      <c r="C162" s="91" t="s">
        <v>960</v>
      </c>
      <c r="D162" s="91"/>
      <c r="E162" s="91" t="s">
        <v>434</v>
      </c>
      <c r="F162" s="1" t="s">
        <v>460</v>
      </c>
      <c r="G162" s="91" t="s">
        <v>512</v>
      </c>
      <c r="H162" s="91"/>
      <c r="I162" s="171"/>
      <c r="J162" s="171"/>
      <c r="K162" s="171"/>
      <c r="L162" s="172">
        <v>456</v>
      </c>
      <c r="M162" s="171"/>
      <c r="N162" s="171"/>
      <c r="O162" s="171"/>
      <c r="P162" s="179">
        <f ca="1">IF(NFI_Expiration=1,IF($A162&lt;VLOOKUP(H$5,NFI,5,0),1,0)*Table_NFI[[#This Row],[Hygiene Kit]],Table_NFI[[#This Row],[Hygiene Kit]])</f>
        <v>0</v>
      </c>
      <c r="Q162" s="179">
        <f ca="1">IF(NFI_Expiration=1,IF($A162&lt;VLOOKUP(I$5,NFI,5,0),1,0)*Table_NFI[[#This Row],[NFI Core Kit]],Table_NFI[[#This Row],[NFI Core Kit]])</f>
        <v>0</v>
      </c>
      <c r="R162" s="179">
        <f ca="1">IF(NFI_Expiration=1,IF($A162&lt;VLOOKUP(J$5,NFI,5,0),1,0)*Table_NFI[[#This Row],[Sanitary Kit]],Table_NFI[[#This Row],[Sanitary Kit]])</f>
        <v>0</v>
      </c>
      <c r="S162" s="179">
        <f ca="1">IF(NFI_Expiration=1,IF($A162&lt;VLOOKUP(K$5,NFI,5,0),1,0)*Table_NFI[[#This Row],[Mosquitoe net]],Table_NFI[[#This Row],[Mosquitoe net]])</f>
        <v>0</v>
      </c>
      <c r="T162" s="179">
        <f ca="1">IF(NFI_Expiration=1,IF($A162&lt;VLOOKUP(L$5,NFI,5,0),1,0)*Table_NFI[[#This Row],[Tarpaulin]],Table_NFI[[#This Row],[Tarpaulin]])</f>
        <v>0</v>
      </c>
      <c r="U162" s="179">
        <f ca="1">IF(NFI_Expiration=1,IF($A162&lt;VLOOKUP(M$5,NFI,5,0),1,0)*Table_NFI[[#This Row],[Blanket]],Table_NFI[[#This Row],[Blanket]])</f>
        <v>0</v>
      </c>
      <c r="V162" s="179">
        <f ca="1">IF(NFI_Expiration=1,IF($A162&lt;VLOOKUP(N$5,NFI,5,0),1,0)*Table_NFI[[#This Row],[Kitchen Set]],Table_NFI[[#This Row],[Kitchen Set]])</f>
        <v>0</v>
      </c>
      <c r="W162" s="179">
        <f ca="1">IF(NFI_Expiration=1,IF($A162&lt;VLOOKUP(O$5,NFI,5,0),1,0)*Table_NFI[[#This Row],[Complementary Kit]],Table_NFI[[#This Row],[Complementary Kit]])</f>
        <v>0</v>
      </c>
    </row>
    <row r="163" spans="1:23" ht="15">
      <c r="A163" s="125">
        <f ca="1" t="shared" si="3"/>
        <v>18.766666666666666</v>
      </c>
      <c r="B163" s="115">
        <v>41119</v>
      </c>
      <c r="C163" s="91" t="s">
        <v>960</v>
      </c>
      <c r="D163" s="91"/>
      <c r="E163" s="91" t="s">
        <v>434</v>
      </c>
      <c r="F163" s="1" t="s">
        <v>460</v>
      </c>
      <c r="G163" s="91" t="s">
        <v>509</v>
      </c>
      <c r="H163" s="91"/>
      <c r="I163" s="171"/>
      <c r="J163" s="171"/>
      <c r="K163" s="171"/>
      <c r="L163" s="172">
        <v>22</v>
      </c>
      <c r="M163" s="171"/>
      <c r="N163" s="171"/>
      <c r="O163" s="171"/>
      <c r="P163" s="179">
        <f ca="1">IF(NFI_Expiration=1,IF($A163&lt;VLOOKUP(H$5,NFI,5,0),1,0)*Table_NFI[[#This Row],[Hygiene Kit]],Table_NFI[[#This Row],[Hygiene Kit]])</f>
        <v>0</v>
      </c>
      <c r="Q163" s="179">
        <f ca="1">IF(NFI_Expiration=1,IF($A163&lt;VLOOKUP(I$5,NFI,5,0),1,0)*Table_NFI[[#This Row],[NFI Core Kit]],Table_NFI[[#This Row],[NFI Core Kit]])</f>
        <v>0</v>
      </c>
      <c r="R163" s="179">
        <f ca="1">IF(NFI_Expiration=1,IF($A163&lt;VLOOKUP(J$5,NFI,5,0),1,0)*Table_NFI[[#This Row],[Sanitary Kit]],Table_NFI[[#This Row],[Sanitary Kit]])</f>
        <v>0</v>
      </c>
      <c r="S163" s="179">
        <f ca="1">IF(NFI_Expiration=1,IF($A163&lt;VLOOKUP(K$5,NFI,5,0),1,0)*Table_NFI[[#This Row],[Mosquitoe net]],Table_NFI[[#This Row],[Mosquitoe net]])</f>
        <v>0</v>
      </c>
      <c r="T163" s="179">
        <f ca="1">IF(NFI_Expiration=1,IF($A163&lt;VLOOKUP(L$5,NFI,5,0),1,0)*Table_NFI[[#This Row],[Tarpaulin]],Table_NFI[[#This Row],[Tarpaulin]])</f>
        <v>0</v>
      </c>
      <c r="U163" s="179">
        <f ca="1">IF(NFI_Expiration=1,IF($A163&lt;VLOOKUP(M$5,NFI,5,0),1,0)*Table_NFI[[#This Row],[Blanket]],Table_NFI[[#This Row],[Blanket]])</f>
        <v>0</v>
      </c>
      <c r="V163" s="179">
        <f ca="1">IF(NFI_Expiration=1,IF($A163&lt;VLOOKUP(N$5,NFI,5,0),1,0)*Table_NFI[[#This Row],[Kitchen Set]],Table_NFI[[#This Row],[Kitchen Set]])</f>
        <v>0</v>
      </c>
      <c r="W163" s="179">
        <f ca="1">IF(NFI_Expiration=1,IF($A163&lt;VLOOKUP(O$5,NFI,5,0),1,0)*Table_NFI[[#This Row],[Complementary Kit]],Table_NFI[[#This Row],[Complementary Kit]])</f>
        <v>0</v>
      </c>
    </row>
    <row r="164" spans="1:23" ht="15">
      <c r="A164" s="125">
        <f ca="1" t="shared" si="3"/>
        <v>19.033333333333335</v>
      </c>
      <c r="B164" s="115">
        <v>41111</v>
      </c>
      <c r="C164" s="91" t="s">
        <v>960</v>
      </c>
      <c r="D164" s="91"/>
      <c r="E164" s="91" t="s">
        <v>434</v>
      </c>
      <c r="F164" s="1" t="s">
        <v>460</v>
      </c>
      <c r="G164" s="91" t="s">
        <v>512</v>
      </c>
      <c r="H164" s="91"/>
      <c r="I164" s="171"/>
      <c r="J164" s="171"/>
      <c r="K164" s="171"/>
      <c r="L164" s="172">
        <v>117</v>
      </c>
      <c r="M164" s="171"/>
      <c r="N164" s="171"/>
      <c r="O164" s="171"/>
      <c r="P164" s="179">
        <f ca="1">IF(NFI_Expiration=1,IF($A164&lt;VLOOKUP(H$5,NFI,5,0),1,0)*Table_NFI[[#This Row],[Hygiene Kit]],Table_NFI[[#This Row],[Hygiene Kit]])</f>
        <v>0</v>
      </c>
      <c r="Q164" s="179">
        <f ca="1">IF(NFI_Expiration=1,IF($A164&lt;VLOOKUP(I$5,NFI,5,0),1,0)*Table_NFI[[#This Row],[NFI Core Kit]],Table_NFI[[#This Row],[NFI Core Kit]])</f>
        <v>0</v>
      </c>
      <c r="R164" s="179">
        <f ca="1">IF(NFI_Expiration=1,IF($A164&lt;VLOOKUP(J$5,NFI,5,0),1,0)*Table_NFI[[#This Row],[Sanitary Kit]],Table_NFI[[#This Row],[Sanitary Kit]])</f>
        <v>0</v>
      </c>
      <c r="S164" s="179">
        <f ca="1">IF(NFI_Expiration=1,IF($A164&lt;VLOOKUP(K$5,NFI,5,0),1,0)*Table_NFI[[#This Row],[Mosquitoe net]],Table_NFI[[#This Row],[Mosquitoe net]])</f>
        <v>0</v>
      </c>
      <c r="T164" s="179">
        <f ca="1">IF(NFI_Expiration=1,IF($A164&lt;VLOOKUP(L$5,NFI,5,0),1,0)*Table_NFI[[#This Row],[Tarpaulin]],Table_NFI[[#This Row],[Tarpaulin]])</f>
        <v>0</v>
      </c>
      <c r="U164" s="179">
        <f ca="1">IF(NFI_Expiration=1,IF($A164&lt;VLOOKUP(M$5,NFI,5,0),1,0)*Table_NFI[[#This Row],[Blanket]],Table_NFI[[#This Row],[Blanket]])</f>
        <v>0</v>
      </c>
      <c r="V164" s="179">
        <f ca="1">IF(NFI_Expiration=1,IF($A164&lt;VLOOKUP(N$5,NFI,5,0),1,0)*Table_NFI[[#This Row],[Kitchen Set]],Table_NFI[[#This Row],[Kitchen Set]])</f>
        <v>0</v>
      </c>
      <c r="W164" s="179">
        <f ca="1">IF(NFI_Expiration=1,IF($A164&lt;VLOOKUP(O$5,NFI,5,0),1,0)*Table_NFI[[#This Row],[Complementary Kit]],Table_NFI[[#This Row],[Complementary Kit]])</f>
        <v>0</v>
      </c>
    </row>
    <row r="165" spans="1:23" ht="15">
      <c r="A165" s="125">
        <f ca="1" t="shared" si="3"/>
        <v>19.066666666666666</v>
      </c>
      <c r="B165" s="115">
        <v>41110</v>
      </c>
      <c r="C165" s="91" t="s">
        <v>960</v>
      </c>
      <c r="D165" s="91"/>
      <c r="E165" s="91" t="s">
        <v>434</v>
      </c>
      <c r="F165" s="1" t="s">
        <v>460</v>
      </c>
      <c r="G165" s="91" t="s">
        <v>506</v>
      </c>
      <c r="H165" s="91"/>
      <c r="I165" s="171"/>
      <c r="J165" s="171"/>
      <c r="K165" s="171"/>
      <c r="L165" s="172">
        <v>383</v>
      </c>
      <c r="M165" s="171"/>
      <c r="N165" s="171"/>
      <c r="O165" s="171"/>
      <c r="P165" s="179">
        <f ca="1">IF(NFI_Expiration=1,IF($A165&lt;VLOOKUP(H$5,NFI,5,0),1,0)*Table_NFI[[#This Row],[Hygiene Kit]],Table_NFI[[#This Row],[Hygiene Kit]])</f>
        <v>0</v>
      </c>
      <c r="Q165" s="179">
        <f ca="1">IF(NFI_Expiration=1,IF($A165&lt;VLOOKUP(I$5,NFI,5,0),1,0)*Table_NFI[[#This Row],[NFI Core Kit]],Table_NFI[[#This Row],[NFI Core Kit]])</f>
        <v>0</v>
      </c>
      <c r="R165" s="179">
        <f ca="1">IF(NFI_Expiration=1,IF($A165&lt;VLOOKUP(J$5,NFI,5,0),1,0)*Table_NFI[[#This Row],[Sanitary Kit]],Table_NFI[[#This Row],[Sanitary Kit]])</f>
        <v>0</v>
      </c>
      <c r="S165" s="179">
        <f ca="1">IF(NFI_Expiration=1,IF($A165&lt;VLOOKUP(K$5,NFI,5,0),1,0)*Table_NFI[[#This Row],[Mosquitoe net]],Table_NFI[[#This Row],[Mosquitoe net]])</f>
        <v>0</v>
      </c>
      <c r="T165" s="179">
        <f ca="1">IF(NFI_Expiration=1,IF($A165&lt;VLOOKUP(L$5,NFI,5,0),1,0)*Table_NFI[[#This Row],[Tarpaulin]],Table_NFI[[#This Row],[Tarpaulin]])</f>
        <v>0</v>
      </c>
      <c r="U165" s="179">
        <f ca="1">IF(NFI_Expiration=1,IF($A165&lt;VLOOKUP(M$5,NFI,5,0),1,0)*Table_NFI[[#This Row],[Blanket]],Table_NFI[[#This Row],[Blanket]])</f>
        <v>0</v>
      </c>
      <c r="V165" s="179">
        <f ca="1">IF(NFI_Expiration=1,IF($A165&lt;VLOOKUP(N$5,NFI,5,0),1,0)*Table_NFI[[#This Row],[Kitchen Set]],Table_NFI[[#This Row],[Kitchen Set]])</f>
        <v>0</v>
      </c>
      <c r="W165" s="179">
        <f ca="1">IF(NFI_Expiration=1,IF($A165&lt;VLOOKUP(O$5,NFI,5,0),1,0)*Table_NFI[[#This Row],[Complementary Kit]],Table_NFI[[#This Row],[Complementary Kit]])</f>
        <v>0</v>
      </c>
    </row>
    <row r="166" spans="1:23" ht="15">
      <c r="A166" s="125">
        <f ca="1" t="shared" si="3"/>
        <v>19.1</v>
      </c>
      <c r="B166" s="115">
        <v>41109</v>
      </c>
      <c r="C166" s="91" t="s">
        <v>960</v>
      </c>
      <c r="D166" s="91"/>
      <c r="E166" s="91" t="s">
        <v>434</v>
      </c>
      <c r="F166" s="1" t="s">
        <v>460</v>
      </c>
      <c r="G166" s="91" t="s">
        <v>515</v>
      </c>
      <c r="H166" s="91"/>
      <c r="I166" s="171"/>
      <c r="J166" s="171"/>
      <c r="K166" s="171"/>
      <c r="L166" s="172">
        <v>572</v>
      </c>
      <c r="M166" s="171"/>
      <c r="N166" s="171"/>
      <c r="O166" s="171"/>
      <c r="P166" s="179">
        <f ca="1">IF(NFI_Expiration=1,IF($A166&lt;VLOOKUP(H$5,NFI,5,0),1,0)*Table_NFI[[#This Row],[Hygiene Kit]],Table_NFI[[#This Row],[Hygiene Kit]])</f>
        <v>0</v>
      </c>
      <c r="Q166" s="179">
        <f ca="1">IF(NFI_Expiration=1,IF($A166&lt;VLOOKUP(I$5,NFI,5,0),1,0)*Table_NFI[[#This Row],[NFI Core Kit]],Table_NFI[[#This Row],[NFI Core Kit]])</f>
        <v>0</v>
      </c>
      <c r="R166" s="179">
        <f ca="1">IF(NFI_Expiration=1,IF($A166&lt;VLOOKUP(J$5,NFI,5,0),1,0)*Table_NFI[[#This Row],[Sanitary Kit]],Table_NFI[[#This Row],[Sanitary Kit]])</f>
        <v>0</v>
      </c>
      <c r="S166" s="179">
        <f ca="1">IF(NFI_Expiration=1,IF($A166&lt;VLOOKUP(K$5,NFI,5,0),1,0)*Table_NFI[[#This Row],[Mosquitoe net]],Table_NFI[[#This Row],[Mosquitoe net]])</f>
        <v>0</v>
      </c>
      <c r="T166" s="179">
        <f ca="1">IF(NFI_Expiration=1,IF($A166&lt;VLOOKUP(L$5,NFI,5,0),1,0)*Table_NFI[[#This Row],[Tarpaulin]],Table_NFI[[#This Row],[Tarpaulin]])</f>
        <v>0</v>
      </c>
      <c r="U166" s="179">
        <f ca="1">IF(NFI_Expiration=1,IF($A166&lt;VLOOKUP(M$5,NFI,5,0),1,0)*Table_NFI[[#This Row],[Blanket]],Table_NFI[[#This Row],[Blanket]])</f>
        <v>0</v>
      </c>
      <c r="V166" s="179">
        <f ca="1">IF(NFI_Expiration=1,IF($A166&lt;VLOOKUP(N$5,NFI,5,0),1,0)*Table_NFI[[#This Row],[Kitchen Set]],Table_NFI[[#This Row],[Kitchen Set]])</f>
        <v>0</v>
      </c>
      <c r="W166" s="179">
        <f ca="1">IF(NFI_Expiration=1,IF($A166&lt;VLOOKUP(O$5,NFI,5,0),1,0)*Table_NFI[[#This Row],[Complementary Kit]],Table_NFI[[#This Row],[Complementary Kit]])</f>
        <v>0</v>
      </c>
    </row>
    <row r="167" spans="1:23" ht="15">
      <c r="A167" s="125">
        <f ca="1" t="shared" si="3"/>
        <v>19.133333333333333</v>
      </c>
      <c r="B167" s="115">
        <v>41108</v>
      </c>
      <c r="C167" s="91" t="s">
        <v>960</v>
      </c>
      <c r="D167" s="91"/>
      <c r="E167" s="91" t="s">
        <v>434</v>
      </c>
      <c r="F167" s="1" t="s">
        <v>460</v>
      </c>
      <c r="G167" s="91" t="s">
        <v>507</v>
      </c>
      <c r="H167" s="91"/>
      <c r="I167" s="171"/>
      <c r="J167" s="171"/>
      <c r="K167" s="171"/>
      <c r="L167" s="172">
        <v>248</v>
      </c>
      <c r="M167" s="171"/>
      <c r="N167" s="171"/>
      <c r="O167" s="171"/>
      <c r="P167" s="179">
        <f ca="1">IF(NFI_Expiration=1,IF($A167&lt;VLOOKUP(H$5,NFI,5,0),1,0)*Table_NFI[[#This Row],[Hygiene Kit]],Table_NFI[[#This Row],[Hygiene Kit]])</f>
        <v>0</v>
      </c>
      <c r="Q167" s="179">
        <f ca="1">IF(NFI_Expiration=1,IF($A167&lt;VLOOKUP(I$5,NFI,5,0),1,0)*Table_NFI[[#This Row],[NFI Core Kit]],Table_NFI[[#This Row],[NFI Core Kit]])</f>
        <v>0</v>
      </c>
      <c r="R167" s="179">
        <f ca="1">IF(NFI_Expiration=1,IF($A167&lt;VLOOKUP(J$5,NFI,5,0),1,0)*Table_NFI[[#This Row],[Sanitary Kit]],Table_NFI[[#This Row],[Sanitary Kit]])</f>
        <v>0</v>
      </c>
      <c r="S167" s="179">
        <f ca="1">IF(NFI_Expiration=1,IF($A167&lt;VLOOKUP(K$5,NFI,5,0),1,0)*Table_NFI[[#This Row],[Mosquitoe net]],Table_NFI[[#This Row],[Mosquitoe net]])</f>
        <v>0</v>
      </c>
      <c r="T167" s="179">
        <f ca="1">IF(NFI_Expiration=1,IF($A167&lt;VLOOKUP(L$5,NFI,5,0),1,0)*Table_NFI[[#This Row],[Tarpaulin]],Table_NFI[[#This Row],[Tarpaulin]])</f>
        <v>0</v>
      </c>
      <c r="U167" s="179">
        <f ca="1">IF(NFI_Expiration=1,IF($A167&lt;VLOOKUP(M$5,NFI,5,0),1,0)*Table_NFI[[#This Row],[Blanket]],Table_NFI[[#This Row],[Blanket]])</f>
        <v>0</v>
      </c>
      <c r="V167" s="179">
        <f ca="1">IF(NFI_Expiration=1,IF($A167&lt;VLOOKUP(N$5,NFI,5,0),1,0)*Table_NFI[[#This Row],[Kitchen Set]],Table_NFI[[#This Row],[Kitchen Set]])</f>
        <v>0</v>
      </c>
      <c r="W167" s="179">
        <f ca="1">IF(NFI_Expiration=1,IF($A167&lt;VLOOKUP(O$5,NFI,5,0),1,0)*Table_NFI[[#This Row],[Complementary Kit]],Table_NFI[[#This Row],[Complementary Kit]])</f>
        <v>0</v>
      </c>
    </row>
    <row r="168" spans="1:23" ht="15">
      <c r="A168" s="125">
        <f ca="1" t="shared" si="3"/>
        <v>19.133333333333333</v>
      </c>
      <c r="B168" s="115">
        <v>41108</v>
      </c>
      <c r="C168" s="91" t="s">
        <v>960</v>
      </c>
      <c r="D168" s="91"/>
      <c r="E168" s="91" t="s">
        <v>434</v>
      </c>
      <c r="F168" s="1" t="s">
        <v>460</v>
      </c>
      <c r="G168" s="91" t="s">
        <v>509</v>
      </c>
      <c r="H168" s="91"/>
      <c r="I168" s="171"/>
      <c r="J168" s="171"/>
      <c r="K168" s="171"/>
      <c r="L168" s="172">
        <v>121</v>
      </c>
      <c r="M168" s="171"/>
      <c r="N168" s="171"/>
      <c r="O168" s="171"/>
      <c r="P168" s="179">
        <f ca="1">IF(NFI_Expiration=1,IF($A168&lt;VLOOKUP(H$5,NFI,5,0),1,0)*Table_NFI[[#This Row],[Hygiene Kit]],Table_NFI[[#This Row],[Hygiene Kit]])</f>
        <v>0</v>
      </c>
      <c r="Q168" s="179">
        <f ca="1">IF(NFI_Expiration=1,IF($A168&lt;VLOOKUP(I$5,NFI,5,0),1,0)*Table_NFI[[#This Row],[NFI Core Kit]],Table_NFI[[#This Row],[NFI Core Kit]])</f>
        <v>0</v>
      </c>
      <c r="R168" s="179">
        <f ca="1">IF(NFI_Expiration=1,IF($A168&lt;VLOOKUP(J$5,NFI,5,0),1,0)*Table_NFI[[#This Row],[Sanitary Kit]],Table_NFI[[#This Row],[Sanitary Kit]])</f>
        <v>0</v>
      </c>
      <c r="S168" s="179">
        <f ca="1">IF(NFI_Expiration=1,IF($A168&lt;VLOOKUP(K$5,NFI,5,0),1,0)*Table_NFI[[#This Row],[Mosquitoe net]],Table_NFI[[#This Row],[Mosquitoe net]])</f>
        <v>0</v>
      </c>
      <c r="T168" s="179">
        <f ca="1">IF(NFI_Expiration=1,IF($A168&lt;VLOOKUP(L$5,NFI,5,0),1,0)*Table_NFI[[#This Row],[Tarpaulin]],Table_NFI[[#This Row],[Tarpaulin]])</f>
        <v>0</v>
      </c>
      <c r="U168" s="179">
        <f ca="1">IF(NFI_Expiration=1,IF($A168&lt;VLOOKUP(M$5,NFI,5,0),1,0)*Table_NFI[[#This Row],[Blanket]],Table_NFI[[#This Row],[Blanket]])</f>
        <v>0</v>
      </c>
      <c r="V168" s="179">
        <f ca="1">IF(NFI_Expiration=1,IF($A168&lt;VLOOKUP(N$5,NFI,5,0),1,0)*Table_NFI[[#This Row],[Kitchen Set]],Table_NFI[[#This Row],[Kitchen Set]])</f>
        <v>0</v>
      </c>
      <c r="W168" s="179">
        <f ca="1">IF(NFI_Expiration=1,IF($A168&lt;VLOOKUP(O$5,NFI,5,0),1,0)*Table_NFI[[#This Row],[Complementary Kit]],Table_NFI[[#This Row],[Complementary Kit]])</f>
        <v>0</v>
      </c>
    </row>
    <row r="169" spans="1:23" ht="15">
      <c r="A169" s="125">
        <f ca="1" t="shared" si="3"/>
        <v>19.166666666666668</v>
      </c>
      <c r="B169" s="115">
        <v>41107</v>
      </c>
      <c r="C169" s="91" t="s">
        <v>960</v>
      </c>
      <c r="D169" s="91"/>
      <c r="E169" s="91" t="s">
        <v>434</v>
      </c>
      <c r="F169" s="1" t="s">
        <v>460</v>
      </c>
      <c r="G169" s="91" t="s">
        <v>507</v>
      </c>
      <c r="H169" s="91"/>
      <c r="I169" s="171"/>
      <c r="J169" s="171"/>
      <c r="K169" s="171"/>
      <c r="L169" s="172">
        <v>630</v>
      </c>
      <c r="M169" s="171"/>
      <c r="N169" s="171"/>
      <c r="O169" s="171"/>
      <c r="P169" s="179">
        <f ca="1">IF(NFI_Expiration=1,IF($A169&lt;VLOOKUP(H$5,NFI,5,0),1,0)*Table_NFI[[#This Row],[Hygiene Kit]],Table_NFI[[#This Row],[Hygiene Kit]])</f>
        <v>0</v>
      </c>
      <c r="Q169" s="179">
        <f ca="1">IF(NFI_Expiration=1,IF($A169&lt;VLOOKUP(I$5,NFI,5,0),1,0)*Table_NFI[[#This Row],[NFI Core Kit]],Table_NFI[[#This Row],[NFI Core Kit]])</f>
        <v>0</v>
      </c>
      <c r="R169" s="179">
        <f ca="1">IF(NFI_Expiration=1,IF($A169&lt;VLOOKUP(J$5,NFI,5,0),1,0)*Table_NFI[[#This Row],[Sanitary Kit]],Table_NFI[[#This Row],[Sanitary Kit]])</f>
        <v>0</v>
      </c>
      <c r="S169" s="179">
        <f ca="1">IF(NFI_Expiration=1,IF($A169&lt;VLOOKUP(K$5,NFI,5,0),1,0)*Table_NFI[[#This Row],[Mosquitoe net]],Table_NFI[[#This Row],[Mosquitoe net]])</f>
        <v>0</v>
      </c>
      <c r="T169" s="179">
        <f ca="1">IF(NFI_Expiration=1,IF($A169&lt;VLOOKUP(L$5,NFI,5,0),1,0)*Table_NFI[[#This Row],[Tarpaulin]],Table_NFI[[#This Row],[Tarpaulin]])</f>
        <v>0</v>
      </c>
      <c r="U169" s="179">
        <f ca="1">IF(NFI_Expiration=1,IF($A169&lt;VLOOKUP(M$5,NFI,5,0),1,0)*Table_NFI[[#This Row],[Blanket]],Table_NFI[[#This Row],[Blanket]])</f>
        <v>0</v>
      </c>
      <c r="V169" s="179">
        <f ca="1">IF(NFI_Expiration=1,IF($A169&lt;VLOOKUP(N$5,NFI,5,0),1,0)*Table_NFI[[#This Row],[Kitchen Set]],Table_NFI[[#This Row],[Kitchen Set]])</f>
        <v>0</v>
      </c>
      <c r="W169" s="179">
        <f ca="1">IF(NFI_Expiration=1,IF($A169&lt;VLOOKUP(O$5,NFI,5,0),1,0)*Table_NFI[[#This Row],[Complementary Kit]],Table_NFI[[#This Row],[Complementary Kit]])</f>
        <v>0</v>
      </c>
    </row>
    <row r="170" spans="1:23" ht="15">
      <c r="A170" s="125">
        <f ca="1" t="shared" si="3"/>
        <v>19.2</v>
      </c>
      <c r="B170" s="115">
        <v>41106</v>
      </c>
      <c r="C170" s="91" t="s">
        <v>960</v>
      </c>
      <c r="D170" s="91"/>
      <c r="E170" s="91" t="s">
        <v>434</v>
      </c>
      <c r="F170" s="1" t="s">
        <v>460</v>
      </c>
      <c r="G170" s="91" t="s">
        <v>507</v>
      </c>
      <c r="H170" s="91"/>
      <c r="I170" s="171"/>
      <c r="J170" s="171"/>
      <c r="K170" s="171"/>
      <c r="L170" s="172">
        <v>120</v>
      </c>
      <c r="M170" s="171"/>
      <c r="N170" s="171"/>
      <c r="O170" s="171"/>
      <c r="P170" s="179">
        <f ca="1">IF(NFI_Expiration=1,IF($A170&lt;VLOOKUP(H$5,NFI,5,0),1,0)*Table_NFI[[#This Row],[Hygiene Kit]],Table_NFI[[#This Row],[Hygiene Kit]])</f>
        <v>0</v>
      </c>
      <c r="Q170" s="179">
        <f ca="1">IF(NFI_Expiration=1,IF($A170&lt;VLOOKUP(I$5,NFI,5,0),1,0)*Table_NFI[[#This Row],[NFI Core Kit]],Table_NFI[[#This Row],[NFI Core Kit]])</f>
        <v>0</v>
      </c>
      <c r="R170" s="179">
        <f ca="1">IF(NFI_Expiration=1,IF($A170&lt;VLOOKUP(J$5,NFI,5,0),1,0)*Table_NFI[[#This Row],[Sanitary Kit]],Table_NFI[[#This Row],[Sanitary Kit]])</f>
        <v>0</v>
      </c>
      <c r="S170" s="179">
        <f ca="1">IF(NFI_Expiration=1,IF($A170&lt;VLOOKUP(K$5,NFI,5,0),1,0)*Table_NFI[[#This Row],[Mosquitoe net]],Table_NFI[[#This Row],[Mosquitoe net]])</f>
        <v>0</v>
      </c>
      <c r="T170" s="179">
        <f ca="1">IF(NFI_Expiration=1,IF($A170&lt;VLOOKUP(L$5,NFI,5,0),1,0)*Table_NFI[[#This Row],[Tarpaulin]],Table_NFI[[#This Row],[Tarpaulin]])</f>
        <v>0</v>
      </c>
      <c r="U170" s="179">
        <f ca="1">IF(NFI_Expiration=1,IF($A170&lt;VLOOKUP(M$5,NFI,5,0),1,0)*Table_NFI[[#This Row],[Blanket]],Table_NFI[[#This Row],[Blanket]])</f>
        <v>0</v>
      </c>
      <c r="V170" s="179">
        <f ca="1">IF(NFI_Expiration=1,IF($A170&lt;VLOOKUP(N$5,NFI,5,0),1,0)*Table_NFI[[#This Row],[Kitchen Set]],Table_NFI[[#This Row],[Kitchen Set]])</f>
        <v>0</v>
      </c>
      <c r="W170" s="179">
        <f ca="1">IF(NFI_Expiration=1,IF($A170&lt;VLOOKUP(O$5,NFI,5,0),1,0)*Table_NFI[[#This Row],[Complementary Kit]],Table_NFI[[#This Row],[Complementary Kit]])</f>
        <v>0</v>
      </c>
    </row>
    <row r="171" spans="1:23" ht="15">
      <c r="A171" s="125">
        <f ca="1" t="shared" si="3"/>
        <v>19.233333333333334</v>
      </c>
      <c r="B171" s="115">
        <v>41105</v>
      </c>
      <c r="C171" s="91" t="s">
        <v>960</v>
      </c>
      <c r="D171" s="91"/>
      <c r="E171" s="91" t="s">
        <v>434</v>
      </c>
      <c r="F171" s="1" t="s">
        <v>460</v>
      </c>
      <c r="G171" s="91" t="s">
        <v>515</v>
      </c>
      <c r="H171" s="91"/>
      <c r="I171" s="171"/>
      <c r="J171" s="171"/>
      <c r="K171" s="171"/>
      <c r="L171" s="172">
        <v>200</v>
      </c>
      <c r="M171" s="171"/>
      <c r="N171" s="171"/>
      <c r="O171" s="171"/>
      <c r="P171" s="179">
        <f ca="1">IF(NFI_Expiration=1,IF($A171&lt;VLOOKUP(H$5,NFI,5,0),1,0)*Table_NFI[[#This Row],[Hygiene Kit]],Table_NFI[[#This Row],[Hygiene Kit]])</f>
        <v>0</v>
      </c>
      <c r="Q171" s="179">
        <f ca="1">IF(NFI_Expiration=1,IF($A171&lt;VLOOKUP(I$5,NFI,5,0),1,0)*Table_NFI[[#This Row],[NFI Core Kit]],Table_NFI[[#This Row],[NFI Core Kit]])</f>
        <v>0</v>
      </c>
      <c r="R171" s="179">
        <f ca="1">IF(NFI_Expiration=1,IF($A171&lt;VLOOKUP(J$5,NFI,5,0),1,0)*Table_NFI[[#This Row],[Sanitary Kit]],Table_NFI[[#This Row],[Sanitary Kit]])</f>
        <v>0</v>
      </c>
      <c r="S171" s="179">
        <f ca="1">IF(NFI_Expiration=1,IF($A171&lt;VLOOKUP(K$5,NFI,5,0),1,0)*Table_NFI[[#This Row],[Mosquitoe net]],Table_NFI[[#This Row],[Mosquitoe net]])</f>
        <v>0</v>
      </c>
      <c r="T171" s="179">
        <f ca="1">IF(NFI_Expiration=1,IF($A171&lt;VLOOKUP(L$5,NFI,5,0),1,0)*Table_NFI[[#This Row],[Tarpaulin]],Table_NFI[[#This Row],[Tarpaulin]])</f>
        <v>0</v>
      </c>
      <c r="U171" s="179">
        <f ca="1">IF(NFI_Expiration=1,IF($A171&lt;VLOOKUP(M$5,NFI,5,0),1,0)*Table_NFI[[#This Row],[Blanket]],Table_NFI[[#This Row],[Blanket]])</f>
        <v>0</v>
      </c>
      <c r="V171" s="179">
        <f ca="1">IF(NFI_Expiration=1,IF($A171&lt;VLOOKUP(N$5,NFI,5,0),1,0)*Table_NFI[[#This Row],[Kitchen Set]],Table_NFI[[#This Row],[Kitchen Set]])</f>
        <v>0</v>
      </c>
      <c r="W171" s="179">
        <f ca="1">IF(NFI_Expiration=1,IF($A171&lt;VLOOKUP(O$5,NFI,5,0),1,0)*Table_NFI[[#This Row],[Complementary Kit]],Table_NFI[[#This Row],[Complementary Kit]])</f>
        <v>0</v>
      </c>
    </row>
    <row r="172" spans="1:23" ht="15">
      <c r="A172" s="125">
        <f ca="1" t="shared" si="3"/>
        <v>19.233333333333334</v>
      </c>
      <c r="B172" s="115">
        <v>41105</v>
      </c>
      <c r="C172" s="91" t="s">
        <v>960</v>
      </c>
      <c r="D172" s="91"/>
      <c r="E172" s="91" t="s">
        <v>434</v>
      </c>
      <c r="F172" s="1" t="s">
        <v>460</v>
      </c>
      <c r="G172" s="91" t="s">
        <v>507</v>
      </c>
      <c r="H172" s="91"/>
      <c r="I172" s="171"/>
      <c r="J172" s="171"/>
      <c r="K172" s="171"/>
      <c r="L172" s="172">
        <v>150</v>
      </c>
      <c r="M172" s="171"/>
      <c r="N172" s="171"/>
      <c r="O172" s="171"/>
      <c r="P172" s="179">
        <f ca="1">IF(NFI_Expiration=1,IF($A172&lt;VLOOKUP(H$5,NFI,5,0),1,0)*Table_NFI[[#This Row],[Hygiene Kit]],Table_NFI[[#This Row],[Hygiene Kit]])</f>
        <v>0</v>
      </c>
      <c r="Q172" s="179">
        <f ca="1">IF(NFI_Expiration=1,IF($A172&lt;VLOOKUP(I$5,NFI,5,0),1,0)*Table_NFI[[#This Row],[NFI Core Kit]],Table_NFI[[#This Row],[NFI Core Kit]])</f>
        <v>0</v>
      </c>
      <c r="R172" s="179">
        <f ca="1">IF(NFI_Expiration=1,IF($A172&lt;VLOOKUP(J$5,NFI,5,0),1,0)*Table_NFI[[#This Row],[Sanitary Kit]],Table_NFI[[#This Row],[Sanitary Kit]])</f>
        <v>0</v>
      </c>
      <c r="S172" s="179">
        <f ca="1">IF(NFI_Expiration=1,IF($A172&lt;VLOOKUP(K$5,NFI,5,0),1,0)*Table_NFI[[#This Row],[Mosquitoe net]],Table_NFI[[#This Row],[Mosquitoe net]])</f>
        <v>0</v>
      </c>
      <c r="T172" s="179">
        <f ca="1">IF(NFI_Expiration=1,IF($A172&lt;VLOOKUP(L$5,NFI,5,0),1,0)*Table_NFI[[#This Row],[Tarpaulin]],Table_NFI[[#This Row],[Tarpaulin]])</f>
        <v>0</v>
      </c>
      <c r="U172" s="179">
        <f ca="1">IF(NFI_Expiration=1,IF($A172&lt;VLOOKUP(M$5,NFI,5,0),1,0)*Table_NFI[[#This Row],[Blanket]],Table_NFI[[#This Row],[Blanket]])</f>
        <v>0</v>
      </c>
      <c r="V172" s="179">
        <f ca="1">IF(NFI_Expiration=1,IF($A172&lt;VLOOKUP(N$5,NFI,5,0),1,0)*Table_NFI[[#This Row],[Kitchen Set]],Table_NFI[[#This Row],[Kitchen Set]])</f>
        <v>0</v>
      </c>
      <c r="W172" s="179">
        <f ca="1">IF(NFI_Expiration=1,IF($A172&lt;VLOOKUP(O$5,NFI,5,0),1,0)*Table_NFI[[#This Row],[Complementary Kit]],Table_NFI[[#This Row],[Complementary Kit]])</f>
        <v>0</v>
      </c>
    </row>
    <row r="173" spans="1:23" ht="15">
      <c r="A173" s="125">
        <f ca="1" t="shared" si="3"/>
        <v>19.333333333333332</v>
      </c>
      <c r="B173" s="115">
        <v>41102</v>
      </c>
      <c r="C173" s="91" t="s">
        <v>960</v>
      </c>
      <c r="D173" s="91"/>
      <c r="E173" s="91" t="s">
        <v>434</v>
      </c>
      <c r="F173" s="1" t="s">
        <v>460</v>
      </c>
      <c r="G173" s="91" t="s">
        <v>909</v>
      </c>
      <c r="H173" s="91"/>
      <c r="I173" s="171"/>
      <c r="J173" s="171"/>
      <c r="K173" s="171"/>
      <c r="L173" s="172">
        <v>4</v>
      </c>
      <c r="M173" s="171"/>
      <c r="N173" s="171"/>
      <c r="O173" s="171"/>
      <c r="P173" s="179">
        <f ca="1">IF(NFI_Expiration=1,IF($A173&lt;VLOOKUP(H$5,NFI,5,0),1,0)*Table_NFI[[#This Row],[Hygiene Kit]],Table_NFI[[#This Row],[Hygiene Kit]])</f>
        <v>0</v>
      </c>
      <c r="Q173" s="179">
        <f ca="1">IF(NFI_Expiration=1,IF($A173&lt;VLOOKUP(I$5,NFI,5,0),1,0)*Table_NFI[[#This Row],[NFI Core Kit]],Table_NFI[[#This Row],[NFI Core Kit]])</f>
        <v>0</v>
      </c>
      <c r="R173" s="179">
        <f ca="1">IF(NFI_Expiration=1,IF($A173&lt;VLOOKUP(J$5,NFI,5,0),1,0)*Table_NFI[[#This Row],[Sanitary Kit]],Table_NFI[[#This Row],[Sanitary Kit]])</f>
        <v>0</v>
      </c>
      <c r="S173" s="179">
        <f ca="1">IF(NFI_Expiration=1,IF($A173&lt;VLOOKUP(K$5,NFI,5,0),1,0)*Table_NFI[[#This Row],[Mosquitoe net]],Table_NFI[[#This Row],[Mosquitoe net]])</f>
        <v>0</v>
      </c>
      <c r="T173" s="179">
        <f ca="1">IF(NFI_Expiration=1,IF($A173&lt;VLOOKUP(L$5,NFI,5,0),1,0)*Table_NFI[[#This Row],[Tarpaulin]],Table_NFI[[#This Row],[Tarpaulin]])</f>
        <v>0</v>
      </c>
      <c r="U173" s="179">
        <f ca="1">IF(NFI_Expiration=1,IF($A173&lt;VLOOKUP(M$5,NFI,5,0),1,0)*Table_NFI[[#This Row],[Blanket]],Table_NFI[[#This Row],[Blanket]])</f>
        <v>0</v>
      </c>
      <c r="V173" s="179">
        <f ca="1">IF(NFI_Expiration=1,IF($A173&lt;VLOOKUP(N$5,NFI,5,0),1,0)*Table_NFI[[#This Row],[Kitchen Set]],Table_NFI[[#This Row],[Kitchen Set]])</f>
        <v>0</v>
      </c>
      <c r="W173" s="179">
        <f ca="1">IF(NFI_Expiration=1,IF($A173&lt;VLOOKUP(O$5,NFI,5,0),1,0)*Table_NFI[[#This Row],[Complementary Kit]],Table_NFI[[#This Row],[Complementary Kit]])</f>
        <v>0</v>
      </c>
    </row>
    <row r="174" spans="1:23" ht="15">
      <c r="A174" s="125">
        <f ca="1" t="shared" si="3"/>
        <v>19.366666666666667</v>
      </c>
      <c r="B174" s="115">
        <v>41101</v>
      </c>
      <c r="C174" s="91" t="s">
        <v>960</v>
      </c>
      <c r="D174" s="91"/>
      <c r="E174" s="91" t="s">
        <v>434</v>
      </c>
      <c r="F174" s="1" t="s">
        <v>460</v>
      </c>
      <c r="G174" s="91" t="s">
        <v>908</v>
      </c>
      <c r="H174" s="91"/>
      <c r="I174" s="171"/>
      <c r="J174" s="171"/>
      <c r="K174" s="171"/>
      <c r="L174" s="172">
        <v>492</v>
      </c>
      <c r="M174" s="171"/>
      <c r="N174" s="171"/>
      <c r="O174" s="171"/>
      <c r="P174" s="179">
        <f ca="1">IF(NFI_Expiration=1,IF($A174&lt;VLOOKUP(H$5,NFI,5,0),1,0)*Table_NFI[[#This Row],[Hygiene Kit]],Table_NFI[[#This Row],[Hygiene Kit]])</f>
        <v>0</v>
      </c>
      <c r="Q174" s="179">
        <f ca="1">IF(NFI_Expiration=1,IF($A174&lt;VLOOKUP(I$5,NFI,5,0),1,0)*Table_NFI[[#This Row],[NFI Core Kit]],Table_NFI[[#This Row],[NFI Core Kit]])</f>
        <v>0</v>
      </c>
      <c r="R174" s="179">
        <f ca="1">IF(NFI_Expiration=1,IF($A174&lt;VLOOKUP(J$5,NFI,5,0),1,0)*Table_NFI[[#This Row],[Sanitary Kit]],Table_NFI[[#This Row],[Sanitary Kit]])</f>
        <v>0</v>
      </c>
      <c r="S174" s="179">
        <f ca="1">IF(NFI_Expiration=1,IF($A174&lt;VLOOKUP(K$5,NFI,5,0),1,0)*Table_NFI[[#This Row],[Mosquitoe net]],Table_NFI[[#This Row],[Mosquitoe net]])</f>
        <v>0</v>
      </c>
      <c r="T174" s="179">
        <f ca="1">IF(NFI_Expiration=1,IF($A174&lt;VLOOKUP(L$5,NFI,5,0),1,0)*Table_NFI[[#This Row],[Tarpaulin]],Table_NFI[[#This Row],[Tarpaulin]])</f>
        <v>0</v>
      </c>
      <c r="U174" s="179">
        <f ca="1">IF(NFI_Expiration=1,IF($A174&lt;VLOOKUP(M$5,NFI,5,0),1,0)*Table_NFI[[#This Row],[Blanket]],Table_NFI[[#This Row],[Blanket]])</f>
        <v>0</v>
      </c>
      <c r="V174" s="179">
        <f ca="1">IF(NFI_Expiration=1,IF($A174&lt;VLOOKUP(N$5,NFI,5,0),1,0)*Table_NFI[[#This Row],[Kitchen Set]],Table_NFI[[#This Row],[Kitchen Set]])</f>
        <v>0</v>
      </c>
      <c r="W174" s="179">
        <f ca="1">IF(NFI_Expiration=1,IF($A174&lt;VLOOKUP(O$5,NFI,5,0),1,0)*Table_NFI[[#This Row],[Complementary Kit]],Table_NFI[[#This Row],[Complementary Kit]])</f>
        <v>0</v>
      </c>
    </row>
    <row r="175" spans="1:23" ht="15">
      <c r="A175" s="125">
        <f ca="1" t="shared" si="3"/>
        <v>19.4</v>
      </c>
      <c r="B175" s="115">
        <v>41100</v>
      </c>
      <c r="C175" s="91" t="s">
        <v>960</v>
      </c>
      <c r="D175" s="91"/>
      <c r="E175" s="91" t="s">
        <v>434</v>
      </c>
      <c r="F175" s="1" t="s">
        <v>460</v>
      </c>
      <c r="G175" s="91" t="s">
        <v>903</v>
      </c>
      <c r="H175" s="91"/>
      <c r="I175" s="171"/>
      <c r="J175" s="171"/>
      <c r="K175" s="171"/>
      <c r="L175" s="171">
        <v>32</v>
      </c>
      <c r="M175" s="171"/>
      <c r="N175" s="171"/>
      <c r="O175" s="171"/>
      <c r="P175" s="179">
        <f ca="1">IF(NFI_Expiration=1,IF($A175&lt;VLOOKUP(H$5,NFI,5,0),1,0)*Table_NFI[[#This Row],[Hygiene Kit]],Table_NFI[[#This Row],[Hygiene Kit]])</f>
        <v>0</v>
      </c>
      <c r="Q175" s="179">
        <f ca="1">IF(NFI_Expiration=1,IF($A175&lt;VLOOKUP(I$5,NFI,5,0),1,0)*Table_NFI[[#This Row],[NFI Core Kit]],Table_NFI[[#This Row],[NFI Core Kit]])</f>
        <v>0</v>
      </c>
      <c r="R175" s="179">
        <f ca="1">IF(NFI_Expiration=1,IF($A175&lt;VLOOKUP(J$5,NFI,5,0),1,0)*Table_NFI[[#This Row],[Sanitary Kit]],Table_NFI[[#This Row],[Sanitary Kit]])</f>
        <v>0</v>
      </c>
      <c r="S175" s="179">
        <f ca="1">IF(NFI_Expiration=1,IF($A175&lt;VLOOKUP(K$5,NFI,5,0),1,0)*Table_NFI[[#This Row],[Mosquitoe net]],Table_NFI[[#This Row],[Mosquitoe net]])</f>
        <v>0</v>
      </c>
      <c r="T175" s="179">
        <f ca="1">IF(NFI_Expiration=1,IF($A175&lt;VLOOKUP(L$5,NFI,5,0),1,0)*Table_NFI[[#This Row],[Tarpaulin]],Table_NFI[[#This Row],[Tarpaulin]])</f>
        <v>0</v>
      </c>
      <c r="U175" s="179">
        <f ca="1">IF(NFI_Expiration=1,IF($A175&lt;VLOOKUP(M$5,NFI,5,0),1,0)*Table_NFI[[#This Row],[Blanket]],Table_NFI[[#This Row],[Blanket]])</f>
        <v>0</v>
      </c>
      <c r="V175" s="179">
        <f ca="1">IF(NFI_Expiration=1,IF($A175&lt;VLOOKUP(N$5,NFI,5,0),1,0)*Table_NFI[[#This Row],[Kitchen Set]],Table_NFI[[#This Row],[Kitchen Set]])</f>
        <v>0</v>
      </c>
      <c r="W175" s="179">
        <f ca="1">IF(NFI_Expiration=1,IF($A175&lt;VLOOKUP(O$5,NFI,5,0),1,0)*Table_NFI[[#This Row],[Complementary Kit]],Table_NFI[[#This Row],[Complementary Kit]])</f>
        <v>0</v>
      </c>
    </row>
    <row r="176" spans="1:23" ht="15">
      <c r="A176" s="125">
        <f ca="1" t="shared" si="3"/>
        <v>19.4</v>
      </c>
      <c r="B176" s="115">
        <v>41100</v>
      </c>
      <c r="C176" s="91" t="s">
        <v>960</v>
      </c>
      <c r="D176" s="91"/>
      <c r="E176" s="91" t="s">
        <v>434</v>
      </c>
      <c r="F176" s="1" t="s">
        <v>460</v>
      </c>
      <c r="G176" s="91" t="s">
        <v>542</v>
      </c>
      <c r="H176" s="91"/>
      <c r="I176" s="171"/>
      <c r="J176" s="171"/>
      <c r="K176" s="171"/>
      <c r="L176" s="171">
        <v>20</v>
      </c>
      <c r="M176" s="171"/>
      <c r="N176" s="171"/>
      <c r="O176" s="171"/>
      <c r="P176" s="179">
        <f ca="1">IF(NFI_Expiration=1,IF($A176&lt;VLOOKUP(H$5,NFI,5,0),1,0)*Table_NFI[[#This Row],[Hygiene Kit]],Table_NFI[[#This Row],[Hygiene Kit]])</f>
        <v>0</v>
      </c>
      <c r="Q176" s="179">
        <f ca="1">IF(NFI_Expiration=1,IF($A176&lt;VLOOKUP(I$5,NFI,5,0),1,0)*Table_NFI[[#This Row],[NFI Core Kit]],Table_NFI[[#This Row],[NFI Core Kit]])</f>
        <v>0</v>
      </c>
      <c r="R176" s="179">
        <f ca="1">IF(NFI_Expiration=1,IF($A176&lt;VLOOKUP(J$5,NFI,5,0),1,0)*Table_NFI[[#This Row],[Sanitary Kit]],Table_NFI[[#This Row],[Sanitary Kit]])</f>
        <v>0</v>
      </c>
      <c r="S176" s="179">
        <f ca="1">IF(NFI_Expiration=1,IF($A176&lt;VLOOKUP(K$5,NFI,5,0),1,0)*Table_NFI[[#This Row],[Mosquitoe net]],Table_NFI[[#This Row],[Mosquitoe net]])</f>
        <v>0</v>
      </c>
      <c r="T176" s="179">
        <f ca="1">IF(NFI_Expiration=1,IF($A176&lt;VLOOKUP(L$5,NFI,5,0),1,0)*Table_NFI[[#This Row],[Tarpaulin]],Table_NFI[[#This Row],[Tarpaulin]])</f>
        <v>0</v>
      </c>
      <c r="U176" s="179">
        <f ca="1">IF(NFI_Expiration=1,IF($A176&lt;VLOOKUP(M$5,NFI,5,0),1,0)*Table_NFI[[#This Row],[Blanket]],Table_NFI[[#This Row],[Blanket]])</f>
        <v>0</v>
      </c>
      <c r="V176" s="179">
        <f ca="1">IF(NFI_Expiration=1,IF($A176&lt;VLOOKUP(N$5,NFI,5,0),1,0)*Table_NFI[[#This Row],[Kitchen Set]],Table_NFI[[#This Row],[Kitchen Set]])</f>
        <v>0</v>
      </c>
      <c r="W176" s="179">
        <f ca="1">IF(NFI_Expiration=1,IF($A176&lt;VLOOKUP(O$5,NFI,5,0),1,0)*Table_NFI[[#This Row],[Complementary Kit]],Table_NFI[[#This Row],[Complementary Kit]])</f>
        <v>0</v>
      </c>
    </row>
    <row r="177" spans="1:23" ht="15">
      <c r="A177" s="125">
        <f ca="1" t="shared" si="3"/>
        <v>19.4</v>
      </c>
      <c r="B177" s="115">
        <v>41100</v>
      </c>
      <c r="C177" s="91" t="s">
        <v>960</v>
      </c>
      <c r="D177" s="91"/>
      <c r="E177" s="91" t="s">
        <v>434</v>
      </c>
      <c r="F177" s="1" t="s">
        <v>460</v>
      </c>
      <c r="G177" s="91" t="s">
        <v>904</v>
      </c>
      <c r="H177" s="91"/>
      <c r="I177" s="171"/>
      <c r="J177" s="171"/>
      <c r="K177" s="171"/>
      <c r="L177" s="172">
        <v>11</v>
      </c>
      <c r="M177" s="171"/>
      <c r="N177" s="171"/>
      <c r="O177" s="171"/>
      <c r="P177" s="179">
        <f ca="1">IF(NFI_Expiration=1,IF($A177&lt;VLOOKUP(H$5,NFI,5,0),1,0)*Table_NFI[[#This Row],[Hygiene Kit]],Table_NFI[[#This Row],[Hygiene Kit]])</f>
        <v>0</v>
      </c>
      <c r="Q177" s="179">
        <f ca="1">IF(NFI_Expiration=1,IF($A177&lt;VLOOKUP(I$5,NFI,5,0),1,0)*Table_NFI[[#This Row],[NFI Core Kit]],Table_NFI[[#This Row],[NFI Core Kit]])</f>
        <v>0</v>
      </c>
      <c r="R177" s="179">
        <f ca="1">IF(NFI_Expiration=1,IF($A177&lt;VLOOKUP(J$5,NFI,5,0),1,0)*Table_NFI[[#This Row],[Sanitary Kit]],Table_NFI[[#This Row],[Sanitary Kit]])</f>
        <v>0</v>
      </c>
      <c r="S177" s="179">
        <f ca="1">IF(NFI_Expiration=1,IF($A177&lt;VLOOKUP(K$5,NFI,5,0),1,0)*Table_NFI[[#This Row],[Mosquitoe net]],Table_NFI[[#This Row],[Mosquitoe net]])</f>
        <v>0</v>
      </c>
      <c r="T177" s="179">
        <f ca="1">IF(NFI_Expiration=1,IF($A177&lt;VLOOKUP(L$5,NFI,5,0),1,0)*Table_NFI[[#This Row],[Tarpaulin]],Table_NFI[[#This Row],[Tarpaulin]])</f>
        <v>0</v>
      </c>
      <c r="U177" s="179">
        <f ca="1">IF(NFI_Expiration=1,IF($A177&lt;VLOOKUP(M$5,NFI,5,0),1,0)*Table_NFI[[#This Row],[Blanket]],Table_NFI[[#This Row],[Blanket]])</f>
        <v>0</v>
      </c>
      <c r="V177" s="179">
        <f ca="1">IF(NFI_Expiration=1,IF($A177&lt;VLOOKUP(N$5,NFI,5,0),1,0)*Table_NFI[[#This Row],[Kitchen Set]],Table_NFI[[#This Row],[Kitchen Set]])</f>
        <v>0</v>
      </c>
      <c r="W177" s="179">
        <f ca="1">IF(NFI_Expiration=1,IF($A177&lt;VLOOKUP(O$5,NFI,5,0),1,0)*Table_NFI[[#This Row],[Complementary Kit]],Table_NFI[[#This Row],[Complementary Kit]])</f>
        <v>0</v>
      </c>
    </row>
    <row r="178" spans="1:23" ht="15">
      <c r="A178" s="125">
        <f ca="1" t="shared" si="3"/>
        <v>19.4</v>
      </c>
      <c r="B178" s="115">
        <v>41100</v>
      </c>
      <c r="C178" s="91" t="s">
        <v>960</v>
      </c>
      <c r="D178" s="91"/>
      <c r="E178" s="91" t="s">
        <v>434</v>
      </c>
      <c r="F178" s="1" t="s">
        <v>460</v>
      </c>
      <c r="G178" s="91" t="s">
        <v>905</v>
      </c>
      <c r="H178" s="91"/>
      <c r="I178" s="171"/>
      <c r="J178" s="171"/>
      <c r="K178" s="171"/>
      <c r="L178" s="172">
        <v>16</v>
      </c>
      <c r="M178" s="171"/>
      <c r="N178" s="171"/>
      <c r="O178" s="171"/>
      <c r="P178" s="179">
        <f ca="1">IF(NFI_Expiration=1,IF($A178&lt;VLOOKUP(H$5,NFI,5,0),1,0)*Table_NFI[[#This Row],[Hygiene Kit]],Table_NFI[[#This Row],[Hygiene Kit]])</f>
        <v>0</v>
      </c>
      <c r="Q178" s="179">
        <f ca="1">IF(NFI_Expiration=1,IF($A178&lt;VLOOKUP(I$5,NFI,5,0),1,0)*Table_NFI[[#This Row],[NFI Core Kit]],Table_NFI[[#This Row],[NFI Core Kit]])</f>
        <v>0</v>
      </c>
      <c r="R178" s="179">
        <f ca="1">IF(NFI_Expiration=1,IF($A178&lt;VLOOKUP(J$5,NFI,5,0),1,0)*Table_NFI[[#This Row],[Sanitary Kit]],Table_NFI[[#This Row],[Sanitary Kit]])</f>
        <v>0</v>
      </c>
      <c r="S178" s="179">
        <f ca="1">IF(NFI_Expiration=1,IF($A178&lt;VLOOKUP(K$5,NFI,5,0),1,0)*Table_NFI[[#This Row],[Mosquitoe net]],Table_NFI[[#This Row],[Mosquitoe net]])</f>
        <v>0</v>
      </c>
      <c r="T178" s="179">
        <f ca="1">IF(NFI_Expiration=1,IF($A178&lt;VLOOKUP(L$5,NFI,5,0),1,0)*Table_NFI[[#This Row],[Tarpaulin]],Table_NFI[[#This Row],[Tarpaulin]])</f>
        <v>0</v>
      </c>
      <c r="U178" s="179">
        <f ca="1">IF(NFI_Expiration=1,IF($A178&lt;VLOOKUP(M$5,NFI,5,0),1,0)*Table_NFI[[#This Row],[Blanket]],Table_NFI[[#This Row],[Blanket]])</f>
        <v>0</v>
      </c>
      <c r="V178" s="179">
        <f ca="1">IF(NFI_Expiration=1,IF($A178&lt;VLOOKUP(N$5,NFI,5,0),1,0)*Table_NFI[[#This Row],[Kitchen Set]],Table_NFI[[#This Row],[Kitchen Set]])</f>
        <v>0</v>
      </c>
      <c r="W178" s="179">
        <f ca="1">IF(NFI_Expiration=1,IF($A178&lt;VLOOKUP(O$5,NFI,5,0),1,0)*Table_NFI[[#This Row],[Complementary Kit]],Table_NFI[[#This Row],[Complementary Kit]])</f>
        <v>0</v>
      </c>
    </row>
    <row r="179" spans="1:23" ht="15">
      <c r="A179" s="125">
        <f ca="1" t="shared" si="3"/>
        <v>19.4</v>
      </c>
      <c r="B179" s="115">
        <v>41100</v>
      </c>
      <c r="C179" s="91" t="s">
        <v>960</v>
      </c>
      <c r="D179" s="91"/>
      <c r="E179" s="91" t="s">
        <v>434</v>
      </c>
      <c r="F179" s="1" t="s">
        <v>460</v>
      </c>
      <c r="G179" s="91" t="s">
        <v>906</v>
      </c>
      <c r="H179" s="91"/>
      <c r="I179" s="171"/>
      <c r="J179" s="171"/>
      <c r="K179" s="171"/>
      <c r="L179" s="172">
        <v>5</v>
      </c>
      <c r="M179" s="171"/>
      <c r="N179" s="171"/>
      <c r="O179" s="171"/>
      <c r="P179" s="179">
        <f ca="1">IF(NFI_Expiration=1,IF($A179&lt;VLOOKUP(H$5,NFI,5,0),1,0)*Table_NFI[[#This Row],[Hygiene Kit]],Table_NFI[[#This Row],[Hygiene Kit]])</f>
        <v>0</v>
      </c>
      <c r="Q179" s="179">
        <f ca="1">IF(NFI_Expiration=1,IF($A179&lt;VLOOKUP(I$5,NFI,5,0),1,0)*Table_NFI[[#This Row],[NFI Core Kit]],Table_NFI[[#This Row],[NFI Core Kit]])</f>
        <v>0</v>
      </c>
      <c r="R179" s="179">
        <f ca="1">IF(NFI_Expiration=1,IF($A179&lt;VLOOKUP(J$5,NFI,5,0),1,0)*Table_NFI[[#This Row],[Sanitary Kit]],Table_NFI[[#This Row],[Sanitary Kit]])</f>
        <v>0</v>
      </c>
      <c r="S179" s="179">
        <f ca="1">IF(NFI_Expiration=1,IF($A179&lt;VLOOKUP(K$5,NFI,5,0),1,0)*Table_NFI[[#This Row],[Mosquitoe net]],Table_NFI[[#This Row],[Mosquitoe net]])</f>
        <v>0</v>
      </c>
      <c r="T179" s="179">
        <f ca="1">IF(NFI_Expiration=1,IF($A179&lt;VLOOKUP(L$5,NFI,5,0),1,0)*Table_NFI[[#This Row],[Tarpaulin]],Table_NFI[[#This Row],[Tarpaulin]])</f>
        <v>0</v>
      </c>
      <c r="U179" s="179">
        <f ca="1">IF(NFI_Expiration=1,IF($A179&lt;VLOOKUP(M$5,NFI,5,0),1,0)*Table_NFI[[#This Row],[Blanket]],Table_NFI[[#This Row],[Blanket]])</f>
        <v>0</v>
      </c>
      <c r="V179" s="179">
        <f ca="1">IF(NFI_Expiration=1,IF($A179&lt;VLOOKUP(N$5,NFI,5,0),1,0)*Table_NFI[[#This Row],[Kitchen Set]],Table_NFI[[#This Row],[Kitchen Set]])</f>
        <v>0</v>
      </c>
      <c r="W179" s="179">
        <f ca="1">IF(NFI_Expiration=1,IF($A179&lt;VLOOKUP(O$5,NFI,5,0),1,0)*Table_NFI[[#This Row],[Complementary Kit]],Table_NFI[[#This Row],[Complementary Kit]])</f>
        <v>0</v>
      </c>
    </row>
    <row r="180" spans="1:23" ht="15">
      <c r="A180" s="125">
        <f ca="1" t="shared" si="3"/>
        <v>19.4</v>
      </c>
      <c r="B180" s="115">
        <v>41100</v>
      </c>
      <c r="C180" s="91" t="s">
        <v>960</v>
      </c>
      <c r="D180" s="91"/>
      <c r="E180" s="91" t="s">
        <v>434</v>
      </c>
      <c r="F180" s="1" t="s">
        <v>460</v>
      </c>
      <c r="G180" s="91" t="s">
        <v>907</v>
      </c>
      <c r="H180" s="91"/>
      <c r="I180" s="171"/>
      <c r="J180" s="171"/>
      <c r="K180" s="171"/>
      <c r="L180" s="172">
        <v>2</v>
      </c>
      <c r="M180" s="171"/>
      <c r="N180" s="171"/>
      <c r="O180" s="171"/>
      <c r="P180" s="179">
        <f ca="1">IF(NFI_Expiration=1,IF($A180&lt;VLOOKUP(H$5,NFI,5,0),1,0)*Table_NFI[[#This Row],[Hygiene Kit]],Table_NFI[[#This Row],[Hygiene Kit]])</f>
        <v>0</v>
      </c>
      <c r="Q180" s="179">
        <f ca="1">IF(NFI_Expiration=1,IF($A180&lt;VLOOKUP(I$5,NFI,5,0),1,0)*Table_NFI[[#This Row],[NFI Core Kit]],Table_NFI[[#This Row],[NFI Core Kit]])</f>
        <v>0</v>
      </c>
      <c r="R180" s="179">
        <f ca="1">IF(NFI_Expiration=1,IF($A180&lt;VLOOKUP(J$5,NFI,5,0),1,0)*Table_NFI[[#This Row],[Sanitary Kit]],Table_NFI[[#This Row],[Sanitary Kit]])</f>
        <v>0</v>
      </c>
      <c r="S180" s="179">
        <f ca="1">IF(NFI_Expiration=1,IF($A180&lt;VLOOKUP(K$5,NFI,5,0),1,0)*Table_NFI[[#This Row],[Mosquitoe net]],Table_NFI[[#This Row],[Mosquitoe net]])</f>
        <v>0</v>
      </c>
      <c r="T180" s="179">
        <f ca="1">IF(NFI_Expiration=1,IF($A180&lt;VLOOKUP(L$5,NFI,5,0),1,0)*Table_NFI[[#This Row],[Tarpaulin]],Table_NFI[[#This Row],[Tarpaulin]])</f>
        <v>0</v>
      </c>
      <c r="U180" s="179">
        <f ca="1">IF(NFI_Expiration=1,IF($A180&lt;VLOOKUP(M$5,NFI,5,0),1,0)*Table_NFI[[#This Row],[Blanket]],Table_NFI[[#This Row],[Blanket]])</f>
        <v>0</v>
      </c>
      <c r="V180" s="179">
        <f ca="1">IF(NFI_Expiration=1,IF($A180&lt;VLOOKUP(N$5,NFI,5,0),1,0)*Table_NFI[[#This Row],[Kitchen Set]],Table_NFI[[#This Row],[Kitchen Set]])</f>
        <v>0</v>
      </c>
      <c r="W180" s="179">
        <f ca="1">IF(NFI_Expiration=1,IF($A180&lt;VLOOKUP(O$5,NFI,5,0),1,0)*Table_NFI[[#This Row],[Complementary Kit]],Table_NFI[[#This Row],[Complementary Kit]])</f>
        <v>0</v>
      </c>
    </row>
    <row r="181" spans="1:23" ht="15">
      <c r="A181" s="125">
        <f ca="1" t="shared" si="3"/>
        <v>19.433333333333334</v>
      </c>
      <c r="B181" s="115">
        <v>41099</v>
      </c>
      <c r="C181" s="91" t="s">
        <v>960</v>
      </c>
      <c r="D181" s="91"/>
      <c r="E181" s="91" t="s">
        <v>434</v>
      </c>
      <c r="F181" s="1" t="s">
        <v>460</v>
      </c>
      <c r="G181" s="91" t="s">
        <v>534</v>
      </c>
      <c r="H181" s="91"/>
      <c r="I181" s="171"/>
      <c r="J181" s="171"/>
      <c r="K181" s="171"/>
      <c r="L181" s="171">
        <v>27</v>
      </c>
      <c r="M181" s="171"/>
      <c r="N181" s="171"/>
      <c r="O181" s="171"/>
      <c r="P181" s="179">
        <f ca="1">IF(NFI_Expiration=1,IF($A181&lt;VLOOKUP(H$5,NFI,5,0),1,0)*Table_NFI[[#This Row],[Hygiene Kit]],Table_NFI[[#This Row],[Hygiene Kit]])</f>
        <v>0</v>
      </c>
      <c r="Q181" s="179">
        <f ca="1">IF(NFI_Expiration=1,IF($A181&lt;VLOOKUP(I$5,NFI,5,0),1,0)*Table_NFI[[#This Row],[NFI Core Kit]],Table_NFI[[#This Row],[NFI Core Kit]])</f>
        <v>0</v>
      </c>
      <c r="R181" s="179">
        <f ca="1">IF(NFI_Expiration=1,IF($A181&lt;VLOOKUP(J$5,NFI,5,0),1,0)*Table_NFI[[#This Row],[Sanitary Kit]],Table_NFI[[#This Row],[Sanitary Kit]])</f>
        <v>0</v>
      </c>
      <c r="S181" s="179">
        <f ca="1">IF(NFI_Expiration=1,IF($A181&lt;VLOOKUP(K$5,NFI,5,0),1,0)*Table_NFI[[#This Row],[Mosquitoe net]],Table_NFI[[#This Row],[Mosquitoe net]])</f>
        <v>0</v>
      </c>
      <c r="T181" s="179">
        <f ca="1">IF(NFI_Expiration=1,IF($A181&lt;VLOOKUP(L$5,NFI,5,0),1,0)*Table_NFI[[#This Row],[Tarpaulin]],Table_NFI[[#This Row],[Tarpaulin]])</f>
        <v>0</v>
      </c>
      <c r="U181" s="179">
        <f ca="1">IF(NFI_Expiration=1,IF($A181&lt;VLOOKUP(M$5,NFI,5,0),1,0)*Table_NFI[[#This Row],[Blanket]],Table_NFI[[#This Row],[Blanket]])</f>
        <v>0</v>
      </c>
      <c r="V181" s="179">
        <f ca="1">IF(NFI_Expiration=1,IF($A181&lt;VLOOKUP(N$5,NFI,5,0),1,0)*Table_NFI[[#This Row],[Kitchen Set]],Table_NFI[[#This Row],[Kitchen Set]])</f>
        <v>0</v>
      </c>
      <c r="W181" s="179">
        <f ca="1">IF(NFI_Expiration=1,IF($A181&lt;VLOOKUP(O$5,NFI,5,0),1,0)*Table_NFI[[#This Row],[Complementary Kit]],Table_NFI[[#This Row],[Complementary Kit]])</f>
        <v>0</v>
      </c>
    </row>
    <row r="182" spans="1:23" ht="15">
      <c r="A182" s="125">
        <f ca="1" t="shared" si="3"/>
        <v>19.433333333333334</v>
      </c>
      <c r="B182" s="115">
        <v>41099</v>
      </c>
      <c r="C182" s="91" t="s">
        <v>960</v>
      </c>
      <c r="D182" s="91"/>
      <c r="E182" s="91" t="s">
        <v>434</v>
      </c>
      <c r="F182" s="1" t="s">
        <v>460</v>
      </c>
      <c r="G182" s="91" t="s">
        <v>894</v>
      </c>
      <c r="H182" s="91"/>
      <c r="I182" s="171"/>
      <c r="J182" s="171"/>
      <c r="K182" s="171"/>
      <c r="L182" s="171">
        <v>10</v>
      </c>
      <c r="M182" s="171"/>
      <c r="N182" s="171"/>
      <c r="O182" s="171"/>
      <c r="P182" s="179">
        <f ca="1">IF(NFI_Expiration=1,IF($A182&lt;VLOOKUP(H$5,NFI,5,0),1,0)*Table_NFI[[#This Row],[Hygiene Kit]],Table_NFI[[#This Row],[Hygiene Kit]])</f>
        <v>0</v>
      </c>
      <c r="Q182" s="179">
        <f ca="1">IF(NFI_Expiration=1,IF($A182&lt;VLOOKUP(I$5,NFI,5,0),1,0)*Table_NFI[[#This Row],[NFI Core Kit]],Table_NFI[[#This Row],[NFI Core Kit]])</f>
        <v>0</v>
      </c>
      <c r="R182" s="179">
        <f ca="1">IF(NFI_Expiration=1,IF($A182&lt;VLOOKUP(J$5,NFI,5,0),1,0)*Table_NFI[[#This Row],[Sanitary Kit]],Table_NFI[[#This Row],[Sanitary Kit]])</f>
        <v>0</v>
      </c>
      <c r="S182" s="179">
        <f ca="1">IF(NFI_Expiration=1,IF($A182&lt;VLOOKUP(K$5,NFI,5,0),1,0)*Table_NFI[[#This Row],[Mosquitoe net]],Table_NFI[[#This Row],[Mosquitoe net]])</f>
        <v>0</v>
      </c>
      <c r="T182" s="179">
        <f ca="1">IF(NFI_Expiration=1,IF($A182&lt;VLOOKUP(L$5,NFI,5,0),1,0)*Table_NFI[[#This Row],[Tarpaulin]],Table_NFI[[#This Row],[Tarpaulin]])</f>
        <v>0</v>
      </c>
      <c r="U182" s="179">
        <f ca="1">IF(NFI_Expiration=1,IF($A182&lt;VLOOKUP(M$5,NFI,5,0),1,0)*Table_NFI[[#This Row],[Blanket]],Table_NFI[[#This Row],[Blanket]])</f>
        <v>0</v>
      </c>
      <c r="V182" s="179">
        <f ca="1">IF(NFI_Expiration=1,IF($A182&lt;VLOOKUP(N$5,NFI,5,0),1,0)*Table_NFI[[#This Row],[Kitchen Set]],Table_NFI[[#This Row],[Kitchen Set]])</f>
        <v>0</v>
      </c>
      <c r="W182" s="179">
        <f ca="1">IF(NFI_Expiration=1,IF($A182&lt;VLOOKUP(O$5,NFI,5,0),1,0)*Table_NFI[[#This Row],[Complementary Kit]],Table_NFI[[#This Row],[Complementary Kit]])</f>
        <v>0</v>
      </c>
    </row>
    <row r="183" spans="1:23" ht="15">
      <c r="A183" s="125">
        <f ca="1" t="shared" si="3"/>
        <v>19.433333333333334</v>
      </c>
      <c r="B183" s="115">
        <v>41099</v>
      </c>
      <c r="C183" s="91" t="s">
        <v>960</v>
      </c>
      <c r="D183" s="91"/>
      <c r="E183" s="91" t="s">
        <v>434</v>
      </c>
      <c r="F183" s="1" t="s">
        <v>460</v>
      </c>
      <c r="G183" s="91" t="s">
        <v>895</v>
      </c>
      <c r="H183" s="91"/>
      <c r="I183" s="171"/>
      <c r="J183" s="171"/>
      <c r="K183" s="171"/>
      <c r="L183" s="171">
        <v>23</v>
      </c>
      <c r="M183" s="171"/>
      <c r="N183" s="171"/>
      <c r="O183" s="171"/>
      <c r="P183" s="179">
        <f ca="1">IF(NFI_Expiration=1,IF($A183&lt;VLOOKUP(H$5,NFI,5,0),1,0)*Table_NFI[[#This Row],[Hygiene Kit]],Table_NFI[[#This Row],[Hygiene Kit]])</f>
        <v>0</v>
      </c>
      <c r="Q183" s="179">
        <f ca="1">IF(NFI_Expiration=1,IF($A183&lt;VLOOKUP(I$5,NFI,5,0),1,0)*Table_NFI[[#This Row],[NFI Core Kit]],Table_NFI[[#This Row],[NFI Core Kit]])</f>
        <v>0</v>
      </c>
      <c r="R183" s="179">
        <f ca="1">IF(NFI_Expiration=1,IF($A183&lt;VLOOKUP(J$5,NFI,5,0),1,0)*Table_NFI[[#This Row],[Sanitary Kit]],Table_NFI[[#This Row],[Sanitary Kit]])</f>
        <v>0</v>
      </c>
      <c r="S183" s="179">
        <f ca="1">IF(NFI_Expiration=1,IF($A183&lt;VLOOKUP(K$5,NFI,5,0),1,0)*Table_NFI[[#This Row],[Mosquitoe net]],Table_NFI[[#This Row],[Mosquitoe net]])</f>
        <v>0</v>
      </c>
      <c r="T183" s="179">
        <f ca="1">IF(NFI_Expiration=1,IF($A183&lt;VLOOKUP(L$5,NFI,5,0),1,0)*Table_NFI[[#This Row],[Tarpaulin]],Table_NFI[[#This Row],[Tarpaulin]])</f>
        <v>0</v>
      </c>
      <c r="U183" s="179">
        <f ca="1">IF(NFI_Expiration=1,IF($A183&lt;VLOOKUP(M$5,NFI,5,0),1,0)*Table_NFI[[#This Row],[Blanket]],Table_NFI[[#This Row],[Blanket]])</f>
        <v>0</v>
      </c>
      <c r="V183" s="179">
        <f ca="1">IF(NFI_Expiration=1,IF($A183&lt;VLOOKUP(N$5,NFI,5,0),1,0)*Table_NFI[[#This Row],[Kitchen Set]],Table_NFI[[#This Row],[Kitchen Set]])</f>
        <v>0</v>
      </c>
      <c r="W183" s="179">
        <f ca="1">IF(NFI_Expiration=1,IF($A183&lt;VLOOKUP(O$5,NFI,5,0),1,0)*Table_NFI[[#This Row],[Complementary Kit]],Table_NFI[[#This Row],[Complementary Kit]])</f>
        <v>0</v>
      </c>
    </row>
    <row r="184" spans="1:23" ht="15">
      <c r="A184" s="125">
        <f ca="1" t="shared" si="3"/>
        <v>19.433333333333334</v>
      </c>
      <c r="B184" s="115">
        <v>41099</v>
      </c>
      <c r="C184" s="91" t="s">
        <v>960</v>
      </c>
      <c r="D184" s="91"/>
      <c r="E184" s="91" t="s">
        <v>434</v>
      </c>
      <c r="F184" s="1" t="s">
        <v>460</v>
      </c>
      <c r="G184" s="91" t="s">
        <v>896</v>
      </c>
      <c r="H184" s="91"/>
      <c r="I184" s="171"/>
      <c r="J184" s="171"/>
      <c r="K184" s="171"/>
      <c r="L184" s="171">
        <v>36</v>
      </c>
      <c r="M184" s="171"/>
      <c r="N184" s="171"/>
      <c r="O184" s="171"/>
      <c r="P184" s="179">
        <f ca="1">IF(NFI_Expiration=1,IF($A184&lt;VLOOKUP(H$5,NFI,5,0),1,0)*Table_NFI[[#This Row],[Hygiene Kit]],Table_NFI[[#This Row],[Hygiene Kit]])</f>
        <v>0</v>
      </c>
      <c r="Q184" s="179">
        <f ca="1">IF(NFI_Expiration=1,IF($A184&lt;VLOOKUP(I$5,NFI,5,0),1,0)*Table_NFI[[#This Row],[NFI Core Kit]],Table_NFI[[#This Row],[NFI Core Kit]])</f>
        <v>0</v>
      </c>
      <c r="R184" s="179">
        <f ca="1">IF(NFI_Expiration=1,IF($A184&lt;VLOOKUP(J$5,NFI,5,0),1,0)*Table_NFI[[#This Row],[Sanitary Kit]],Table_NFI[[#This Row],[Sanitary Kit]])</f>
        <v>0</v>
      </c>
      <c r="S184" s="179">
        <f ca="1">IF(NFI_Expiration=1,IF($A184&lt;VLOOKUP(K$5,NFI,5,0),1,0)*Table_NFI[[#This Row],[Mosquitoe net]],Table_NFI[[#This Row],[Mosquitoe net]])</f>
        <v>0</v>
      </c>
      <c r="T184" s="179">
        <f ca="1">IF(NFI_Expiration=1,IF($A184&lt;VLOOKUP(L$5,NFI,5,0),1,0)*Table_NFI[[#This Row],[Tarpaulin]],Table_NFI[[#This Row],[Tarpaulin]])</f>
        <v>0</v>
      </c>
      <c r="U184" s="179">
        <f ca="1">IF(NFI_Expiration=1,IF($A184&lt;VLOOKUP(M$5,NFI,5,0),1,0)*Table_NFI[[#This Row],[Blanket]],Table_NFI[[#This Row],[Blanket]])</f>
        <v>0</v>
      </c>
      <c r="V184" s="179">
        <f ca="1">IF(NFI_Expiration=1,IF($A184&lt;VLOOKUP(N$5,NFI,5,0),1,0)*Table_NFI[[#This Row],[Kitchen Set]],Table_NFI[[#This Row],[Kitchen Set]])</f>
        <v>0</v>
      </c>
      <c r="W184" s="179">
        <f ca="1">IF(NFI_Expiration=1,IF($A184&lt;VLOOKUP(O$5,NFI,5,0),1,0)*Table_NFI[[#This Row],[Complementary Kit]],Table_NFI[[#This Row],[Complementary Kit]])</f>
        <v>0</v>
      </c>
    </row>
    <row r="185" spans="1:23" ht="15">
      <c r="A185" s="125">
        <f ca="1" t="shared" si="3"/>
        <v>19.433333333333334</v>
      </c>
      <c r="B185" s="115">
        <v>41099</v>
      </c>
      <c r="C185" s="91" t="s">
        <v>960</v>
      </c>
      <c r="D185" s="91"/>
      <c r="E185" s="91" t="s">
        <v>434</v>
      </c>
      <c r="F185" s="1" t="s">
        <v>460</v>
      </c>
      <c r="G185" s="91" t="s">
        <v>897</v>
      </c>
      <c r="H185" s="91"/>
      <c r="I185" s="171"/>
      <c r="J185" s="171"/>
      <c r="K185" s="171"/>
      <c r="L185" s="171">
        <v>33</v>
      </c>
      <c r="M185" s="171"/>
      <c r="N185" s="171"/>
      <c r="O185" s="171"/>
      <c r="P185" s="179">
        <f ca="1">IF(NFI_Expiration=1,IF($A185&lt;VLOOKUP(H$5,NFI,5,0),1,0)*Table_NFI[[#This Row],[Hygiene Kit]],Table_NFI[[#This Row],[Hygiene Kit]])</f>
        <v>0</v>
      </c>
      <c r="Q185" s="179">
        <f ca="1">IF(NFI_Expiration=1,IF($A185&lt;VLOOKUP(I$5,NFI,5,0),1,0)*Table_NFI[[#This Row],[NFI Core Kit]],Table_NFI[[#This Row],[NFI Core Kit]])</f>
        <v>0</v>
      </c>
      <c r="R185" s="179">
        <f ca="1">IF(NFI_Expiration=1,IF($A185&lt;VLOOKUP(J$5,NFI,5,0),1,0)*Table_NFI[[#This Row],[Sanitary Kit]],Table_NFI[[#This Row],[Sanitary Kit]])</f>
        <v>0</v>
      </c>
      <c r="S185" s="179">
        <f ca="1">IF(NFI_Expiration=1,IF($A185&lt;VLOOKUP(K$5,NFI,5,0),1,0)*Table_NFI[[#This Row],[Mosquitoe net]],Table_NFI[[#This Row],[Mosquitoe net]])</f>
        <v>0</v>
      </c>
      <c r="T185" s="179">
        <f ca="1">IF(NFI_Expiration=1,IF($A185&lt;VLOOKUP(L$5,NFI,5,0),1,0)*Table_NFI[[#This Row],[Tarpaulin]],Table_NFI[[#This Row],[Tarpaulin]])</f>
        <v>0</v>
      </c>
      <c r="U185" s="179">
        <f ca="1">IF(NFI_Expiration=1,IF($A185&lt;VLOOKUP(M$5,NFI,5,0),1,0)*Table_NFI[[#This Row],[Blanket]],Table_NFI[[#This Row],[Blanket]])</f>
        <v>0</v>
      </c>
      <c r="V185" s="179">
        <f ca="1">IF(NFI_Expiration=1,IF($A185&lt;VLOOKUP(N$5,NFI,5,0),1,0)*Table_NFI[[#This Row],[Kitchen Set]],Table_NFI[[#This Row],[Kitchen Set]])</f>
        <v>0</v>
      </c>
      <c r="W185" s="179">
        <f ca="1">IF(NFI_Expiration=1,IF($A185&lt;VLOOKUP(O$5,NFI,5,0),1,0)*Table_NFI[[#This Row],[Complementary Kit]],Table_NFI[[#This Row],[Complementary Kit]])</f>
        <v>0</v>
      </c>
    </row>
    <row r="186" spans="1:23" ht="15">
      <c r="A186" s="125">
        <f ca="1" t="shared" si="3"/>
        <v>19.433333333333334</v>
      </c>
      <c r="B186" s="115">
        <v>41099</v>
      </c>
      <c r="C186" s="91" t="s">
        <v>960</v>
      </c>
      <c r="D186" s="91"/>
      <c r="E186" s="91" t="s">
        <v>434</v>
      </c>
      <c r="F186" s="1" t="s">
        <v>460</v>
      </c>
      <c r="G186" s="91" t="s">
        <v>898</v>
      </c>
      <c r="H186" s="91"/>
      <c r="I186" s="171"/>
      <c r="J186" s="171"/>
      <c r="K186" s="171"/>
      <c r="L186" s="171">
        <v>12</v>
      </c>
      <c r="M186" s="171"/>
      <c r="N186" s="171"/>
      <c r="O186" s="171"/>
      <c r="P186" s="179">
        <f ca="1">IF(NFI_Expiration=1,IF($A186&lt;VLOOKUP(H$5,NFI,5,0),1,0)*Table_NFI[[#This Row],[Hygiene Kit]],Table_NFI[[#This Row],[Hygiene Kit]])</f>
        <v>0</v>
      </c>
      <c r="Q186" s="179">
        <f ca="1">IF(NFI_Expiration=1,IF($A186&lt;VLOOKUP(I$5,NFI,5,0),1,0)*Table_NFI[[#This Row],[NFI Core Kit]],Table_NFI[[#This Row],[NFI Core Kit]])</f>
        <v>0</v>
      </c>
      <c r="R186" s="179">
        <f ca="1">IF(NFI_Expiration=1,IF($A186&lt;VLOOKUP(J$5,NFI,5,0),1,0)*Table_NFI[[#This Row],[Sanitary Kit]],Table_NFI[[#This Row],[Sanitary Kit]])</f>
        <v>0</v>
      </c>
      <c r="S186" s="179">
        <f ca="1">IF(NFI_Expiration=1,IF($A186&lt;VLOOKUP(K$5,NFI,5,0),1,0)*Table_NFI[[#This Row],[Mosquitoe net]],Table_NFI[[#This Row],[Mosquitoe net]])</f>
        <v>0</v>
      </c>
      <c r="T186" s="179">
        <f ca="1">IF(NFI_Expiration=1,IF($A186&lt;VLOOKUP(L$5,NFI,5,0),1,0)*Table_NFI[[#This Row],[Tarpaulin]],Table_NFI[[#This Row],[Tarpaulin]])</f>
        <v>0</v>
      </c>
      <c r="U186" s="179">
        <f ca="1">IF(NFI_Expiration=1,IF($A186&lt;VLOOKUP(M$5,NFI,5,0),1,0)*Table_NFI[[#This Row],[Blanket]],Table_NFI[[#This Row],[Blanket]])</f>
        <v>0</v>
      </c>
      <c r="V186" s="179">
        <f ca="1">IF(NFI_Expiration=1,IF($A186&lt;VLOOKUP(N$5,NFI,5,0),1,0)*Table_NFI[[#This Row],[Kitchen Set]],Table_NFI[[#This Row],[Kitchen Set]])</f>
        <v>0</v>
      </c>
      <c r="W186" s="179">
        <f ca="1">IF(NFI_Expiration=1,IF($A186&lt;VLOOKUP(O$5,NFI,5,0),1,0)*Table_NFI[[#This Row],[Complementary Kit]],Table_NFI[[#This Row],[Complementary Kit]])</f>
        <v>0</v>
      </c>
    </row>
    <row r="187" spans="1:23" ht="15">
      <c r="A187" s="125">
        <f ca="1" t="shared" si="3"/>
        <v>19.433333333333334</v>
      </c>
      <c r="B187" s="115">
        <v>41099</v>
      </c>
      <c r="C187" s="91" t="s">
        <v>960</v>
      </c>
      <c r="D187" s="91"/>
      <c r="E187" s="91" t="s">
        <v>434</v>
      </c>
      <c r="F187" s="1" t="s">
        <v>460</v>
      </c>
      <c r="G187" s="91" t="s">
        <v>899</v>
      </c>
      <c r="H187" s="91"/>
      <c r="I187" s="171"/>
      <c r="J187" s="171"/>
      <c r="K187" s="171"/>
      <c r="L187" s="171">
        <v>26</v>
      </c>
      <c r="M187" s="171"/>
      <c r="N187" s="171"/>
      <c r="O187" s="171"/>
      <c r="P187" s="179">
        <f ca="1">IF(NFI_Expiration=1,IF($A187&lt;VLOOKUP(H$5,NFI,5,0),1,0)*Table_NFI[[#This Row],[Hygiene Kit]],Table_NFI[[#This Row],[Hygiene Kit]])</f>
        <v>0</v>
      </c>
      <c r="Q187" s="179">
        <f ca="1">IF(NFI_Expiration=1,IF($A187&lt;VLOOKUP(I$5,NFI,5,0),1,0)*Table_NFI[[#This Row],[NFI Core Kit]],Table_NFI[[#This Row],[NFI Core Kit]])</f>
        <v>0</v>
      </c>
      <c r="R187" s="179">
        <f ca="1">IF(NFI_Expiration=1,IF($A187&lt;VLOOKUP(J$5,NFI,5,0),1,0)*Table_NFI[[#This Row],[Sanitary Kit]],Table_NFI[[#This Row],[Sanitary Kit]])</f>
        <v>0</v>
      </c>
      <c r="S187" s="179">
        <f ca="1">IF(NFI_Expiration=1,IF($A187&lt;VLOOKUP(K$5,NFI,5,0),1,0)*Table_NFI[[#This Row],[Mosquitoe net]],Table_NFI[[#This Row],[Mosquitoe net]])</f>
        <v>0</v>
      </c>
      <c r="T187" s="179">
        <f ca="1">IF(NFI_Expiration=1,IF($A187&lt;VLOOKUP(L$5,NFI,5,0),1,0)*Table_NFI[[#This Row],[Tarpaulin]],Table_NFI[[#This Row],[Tarpaulin]])</f>
        <v>0</v>
      </c>
      <c r="U187" s="179">
        <f ca="1">IF(NFI_Expiration=1,IF($A187&lt;VLOOKUP(M$5,NFI,5,0),1,0)*Table_NFI[[#This Row],[Blanket]],Table_NFI[[#This Row],[Blanket]])</f>
        <v>0</v>
      </c>
      <c r="V187" s="179">
        <f ca="1">IF(NFI_Expiration=1,IF($A187&lt;VLOOKUP(N$5,NFI,5,0),1,0)*Table_NFI[[#This Row],[Kitchen Set]],Table_NFI[[#This Row],[Kitchen Set]])</f>
        <v>0</v>
      </c>
      <c r="W187" s="179">
        <f ca="1">IF(NFI_Expiration=1,IF($A187&lt;VLOOKUP(O$5,NFI,5,0),1,0)*Table_NFI[[#This Row],[Complementary Kit]],Table_NFI[[#This Row],[Complementary Kit]])</f>
        <v>0</v>
      </c>
    </row>
    <row r="188" spans="1:23" ht="15">
      <c r="A188" s="125">
        <f ca="1" t="shared" si="3"/>
        <v>19.433333333333334</v>
      </c>
      <c r="B188" s="115">
        <v>41099</v>
      </c>
      <c r="C188" s="91" t="s">
        <v>960</v>
      </c>
      <c r="D188" s="91"/>
      <c r="E188" s="91" t="s">
        <v>434</v>
      </c>
      <c r="F188" s="1" t="s">
        <v>460</v>
      </c>
      <c r="G188" s="91" t="s">
        <v>900</v>
      </c>
      <c r="H188" s="91"/>
      <c r="I188" s="171"/>
      <c r="J188" s="171"/>
      <c r="K188" s="171"/>
      <c r="L188" s="171">
        <v>19</v>
      </c>
      <c r="M188" s="171"/>
      <c r="N188" s="171"/>
      <c r="O188" s="171"/>
      <c r="P188" s="179">
        <f ca="1">IF(NFI_Expiration=1,IF($A188&lt;VLOOKUP(H$5,NFI,5,0),1,0)*Table_NFI[[#This Row],[Hygiene Kit]],Table_NFI[[#This Row],[Hygiene Kit]])</f>
        <v>0</v>
      </c>
      <c r="Q188" s="179">
        <f ca="1">IF(NFI_Expiration=1,IF($A188&lt;VLOOKUP(I$5,NFI,5,0),1,0)*Table_NFI[[#This Row],[NFI Core Kit]],Table_NFI[[#This Row],[NFI Core Kit]])</f>
        <v>0</v>
      </c>
      <c r="R188" s="179">
        <f ca="1">IF(NFI_Expiration=1,IF($A188&lt;VLOOKUP(J$5,NFI,5,0),1,0)*Table_NFI[[#This Row],[Sanitary Kit]],Table_NFI[[#This Row],[Sanitary Kit]])</f>
        <v>0</v>
      </c>
      <c r="S188" s="179">
        <f ca="1">IF(NFI_Expiration=1,IF($A188&lt;VLOOKUP(K$5,NFI,5,0),1,0)*Table_NFI[[#This Row],[Mosquitoe net]],Table_NFI[[#This Row],[Mosquitoe net]])</f>
        <v>0</v>
      </c>
      <c r="T188" s="179">
        <f ca="1">IF(NFI_Expiration=1,IF($A188&lt;VLOOKUP(L$5,NFI,5,0),1,0)*Table_NFI[[#This Row],[Tarpaulin]],Table_NFI[[#This Row],[Tarpaulin]])</f>
        <v>0</v>
      </c>
      <c r="U188" s="179">
        <f ca="1">IF(NFI_Expiration=1,IF($A188&lt;VLOOKUP(M$5,NFI,5,0),1,0)*Table_NFI[[#This Row],[Blanket]],Table_NFI[[#This Row],[Blanket]])</f>
        <v>0</v>
      </c>
      <c r="V188" s="179">
        <f ca="1">IF(NFI_Expiration=1,IF($A188&lt;VLOOKUP(N$5,NFI,5,0),1,0)*Table_NFI[[#This Row],[Kitchen Set]],Table_NFI[[#This Row],[Kitchen Set]])</f>
        <v>0</v>
      </c>
      <c r="W188" s="179">
        <f ca="1">IF(NFI_Expiration=1,IF($A188&lt;VLOOKUP(O$5,NFI,5,0),1,0)*Table_NFI[[#This Row],[Complementary Kit]],Table_NFI[[#This Row],[Complementary Kit]])</f>
        <v>0</v>
      </c>
    </row>
    <row r="189" spans="1:23" ht="15">
      <c r="A189" s="125">
        <f ca="1" t="shared" si="3"/>
        <v>19.433333333333334</v>
      </c>
      <c r="B189" s="115">
        <v>41099</v>
      </c>
      <c r="C189" s="91" t="s">
        <v>960</v>
      </c>
      <c r="D189" s="91"/>
      <c r="E189" s="91" t="s">
        <v>434</v>
      </c>
      <c r="F189" s="1" t="s">
        <v>460</v>
      </c>
      <c r="G189" s="91" t="s">
        <v>901</v>
      </c>
      <c r="H189" s="91"/>
      <c r="I189" s="171"/>
      <c r="J189" s="171"/>
      <c r="K189" s="171"/>
      <c r="L189" s="171">
        <v>3</v>
      </c>
      <c r="M189" s="171"/>
      <c r="N189" s="171"/>
      <c r="O189" s="171"/>
      <c r="P189" s="179">
        <f ca="1">IF(NFI_Expiration=1,IF($A189&lt;VLOOKUP(H$5,NFI,5,0),1,0)*Table_NFI[[#This Row],[Hygiene Kit]],Table_NFI[[#This Row],[Hygiene Kit]])</f>
        <v>0</v>
      </c>
      <c r="Q189" s="179">
        <f ca="1">IF(NFI_Expiration=1,IF($A189&lt;VLOOKUP(I$5,NFI,5,0),1,0)*Table_NFI[[#This Row],[NFI Core Kit]],Table_NFI[[#This Row],[NFI Core Kit]])</f>
        <v>0</v>
      </c>
      <c r="R189" s="179">
        <f ca="1">IF(NFI_Expiration=1,IF($A189&lt;VLOOKUP(J$5,NFI,5,0),1,0)*Table_NFI[[#This Row],[Sanitary Kit]],Table_NFI[[#This Row],[Sanitary Kit]])</f>
        <v>0</v>
      </c>
      <c r="S189" s="179">
        <f ca="1">IF(NFI_Expiration=1,IF($A189&lt;VLOOKUP(K$5,NFI,5,0),1,0)*Table_NFI[[#This Row],[Mosquitoe net]],Table_NFI[[#This Row],[Mosquitoe net]])</f>
        <v>0</v>
      </c>
      <c r="T189" s="179">
        <f ca="1">IF(NFI_Expiration=1,IF($A189&lt;VLOOKUP(L$5,NFI,5,0),1,0)*Table_NFI[[#This Row],[Tarpaulin]],Table_NFI[[#This Row],[Tarpaulin]])</f>
        <v>0</v>
      </c>
      <c r="U189" s="179">
        <f ca="1">IF(NFI_Expiration=1,IF($A189&lt;VLOOKUP(M$5,NFI,5,0),1,0)*Table_NFI[[#This Row],[Blanket]],Table_NFI[[#This Row],[Blanket]])</f>
        <v>0</v>
      </c>
      <c r="V189" s="179">
        <f ca="1">IF(NFI_Expiration=1,IF($A189&lt;VLOOKUP(N$5,NFI,5,0),1,0)*Table_NFI[[#This Row],[Kitchen Set]],Table_NFI[[#This Row],[Kitchen Set]])</f>
        <v>0</v>
      </c>
      <c r="W189" s="179">
        <f ca="1">IF(NFI_Expiration=1,IF($A189&lt;VLOOKUP(O$5,NFI,5,0),1,0)*Table_NFI[[#This Row],[Complementary Kit]],Table_NFI[[#This Row],[Complementary Kit]])</f>
        <v>0</v>
      </c>
    </row>
    <row r="190" spans="1:23" ht="15">
      <c r="A190" s="125">
        <f ca="1" t="shared" si="3"/>
        <v>19.433333333333334</v>
      </c>
      <c r="B190" s="115">
        <v>41099</v>
      </c>
      <c r="C190" s="91" t="s">
        <v>960</v>
      </c>
      <c r="D190" s="91"/>
      <c r="E190" s="91" t="s">
        <v>434</v>
      </c>
      <c r="F190" s="1" t="s">
        <v>460</v>
      </c>
      <c r="G190" s="91" t="s">
        <v>902</v>
      </c>
      <c r="H190" s="91"/>
      <c r="I190" s="171"/>
      <c r="J190" s="171"/>
      <c r="K190" s="171"/>
      <c r="L190" s="171">
        <v>5</v>
      </c>
      <c r="M190" s="171"/>
      <c r="N190" s="171"/>
      <c r="O190" s="171"/>
      <c r="P190" s="179">
        <f ca="1">IF(NFI_Expiration=1,IF($A190&lt;VLOOKUP(H$5,NFI,5,0),1,0)*Table_NFI[[#This Row],[Hygiene Kit]],Table_NFI[[#This Row],[Hygiene Kit]])</f>
        <v>0</v>
      </c>
      <c r="Q190" s="179">
        <f ca="1">IF(NFI_Expiration=1,IF($A190&lt;VLOOKUP(I$5,NFI,5,0),1,0)*Table_NFI[[#This Row],[NFI Core Kit]],Table_NFI[[#This Row],[NFI Core Kit]])</f>
        <v>0</v>
      </c>
      <c r="R190" s="179">
        <f ca="1">IF(NFI_Expiration=1,IF($A190&lt;VLOOKUP(J$5,NFI,5,0),1,0)*Table_NFI[[#This Row],[Sanitary Kit]],Table_NFI[[#This Row],[Sanitary Kit]])</f>
        <v>0</v>
      </c>
      <c r="S190" s="179">
        <f ca="1">IF(NFI_Expiration=1,IF($A190&lt;VLOOKUP(K$5,NFI,5,0),1,0)*Table_NFI[[#This Row],[Mosquitoe net]],Table_NFI[[#This Row],[Mosquitoe net]])</f>
        <v>0</v>
      </c>
      <c r="T190" s="179">
        <f ca="1">IF(NFI_Expiration=1,IF($A190&lt;VLOOKUP(L$5,NFI,5,0),1,0)*Table_NFI[[#This Row],[Tarpaulin]],Table_NFI[[#This Row],[Tarpaulin]])</f>
        <v>0</v>
      </c>
      <c r="U190" s="179">
        <f ca="1">IF(NFI_Expiration=1,IF($A190&lt;VLOOKUP(M$5,NFI,5,0),1,0)*Table_NFI[[#This Row],[Blanket]],Table_NFI[[#This Row],[Blanket]])</f>
        <v>0</v>
      </c>
      <c r="V190" s="179">
        <f ca="1">IF(NFI_Expiration=1,IF($A190&lt;VLOOKUP(N$5,NFI,5,0),1,0)*Table_NFI[[#This Row],[Kitchen Set]],Table_NFI[[#This Row],[Kitchen Set]])</f>
        <v>0</v>
      </c>
      <c r="W190" s="179">
        <f ca="1">IF(NFI_Expiration=1,IF($A190&lt;VLOOKUP(O$5,NFI,5,0),1,0)*Table_NFI[[#This Row],[Complementary Kit]],Table_NFI[[#This Row],[Complementary Kit]])</f>
        <v>0</v>
      </c>
    </row>
    <row r="191" spans="1:23" ht="15">
      <c r="A191" s="125">
        <f ca="1" t="shared" si="3"/>
        <v>19.5</v>
      </c>
      <c r="B191" s="115">
        <v>41097</v>
      </c>
      <c r="C191" s="91" t="s">
        <v>960</v>
      </c>
      <c r="D191" s="91"/>
      <c r="E191" s="91" t="s">
        <v>434</v>
      </c>
      <c r="F191" s="1" t="s">
        <v>460</v>
      </c>
      <c r="G191" s="91" t="s">
        <v>532</v>
      </c>
      <c r="H191" s="91"/>
      <c r="I191" s="171"/>
      <c r="J191" s="171"/>
      <c r="K191" s="171"/>
      <c r="L191" s="171">
        <v>201</v>
      </c>
      <c r="M191" s="171"/>
      <c r="N191" s="171"/>
      <c r="O191" s="171"/>
      <c r="P191" s="179">
        <f ca="1">IF(NFI_Expiration=1,IF($A191&lt;VLOOKUP(H$5,NFI,5,0),1,0)*Table_NFI[[#This Row],[Hygiene Kit]],Table_NFI[[#This Row],[Hygiene Kit]])</f>
        <v>0</v>
      </c>
      <c r="Q191" s="179">
        <f ca="1">IF(NFI_Expiration=1,IF($A191&lt;VLOOKUP(I$5,NFI,5,0),1,0)*Table_NFI[[#This Row],[NFI Core Kit]],Table_NFI[[#This Row],[NFI Core Kit]])</f>
        <v>0</v>
      </c>
      <c r="R191" s="179">
        <f ca="1">IF(NFI_Expiration=1,IF($A191&lt;VLOOKUP(J$5,NFI,5,0),1,0)*Table_NFI[[#This Row],[Sanitary Kit]],Table_NFI[[#This Row],[Sanitary Kit]])</f>
        <v>0</v>
      </c>
      <c r="S191" s="179">
        <f ca="1">IF(NFI_Expiration=1,IF($A191&lt;VLOOKUP(K$5,NFI,5,0),1,0)*Table_NFI[[#This Row],[Mosquitoe net]],Table_NFI[[#This Row],[Mosquitoe net]])</f>
        <v>0</v>
      </c>
      <c r="T191" s="179">
        <f ca="1">IF(NFI_Expiration=1,IF($A191&lt;VLOOKUP(L$5,NFI,5,0),1,0)*Table_NFI[[#This Row],[Tarpaulin]],Table_NFI[[#This Row],[Tarpaulin]])</f>
        <v>0</v>
      </c>
      <c r="U191" s="179">
        <f ca="1">IF(NFI_Expiration=1,IF($A191&lt;VLOOKUP(M$5,NFI,5,0),1,0)*Table_NFI[[#This Row],[Blanket]],Table_NFI[[#This Row],[Blanket]])</f>
        <v>0</v>
      </c>
      <c r="V191" s="179">
        <f ca="1">IF(NFI_Expiration=1,IF($A191&lt;VLOOKUP(N$5,NFI,5,0),1,0)*Table_NFI[[#This Row],[Kitchen Set]],Table_NFI[[#This Row],[Kitchen Set]])</f>
        <v>0</v>
      </c>
      <c r="W191" s="179">
        <f ca="1">IF(NFI_Expiration=1,IF($A191&lt;VLOOKUP(O$5,NFI,5,0),1,0)*Table_NFI[[#This Row],[Complementary Kit]],Table_NFI[[#This Row],[Complementary Kit]])</f>
        <v>0</v>
      </c>
    </row>
    <row r="192" spans="1:23" ht="15">
      <c r="A192" s="125">
        <f ca="1" t="shared" si="3"/>
        <v>19.5</v>
      </c>
      <c r="B192" s="115">
        <v>41097</v>
      </c>
      <c r="C192" s="91" t="s">
        <v>960</v>
      </c>
      <c r="D192" s="91"/>
      <c r="E192" s="91" t="s">
        <v>434</v>
      </c>
      <c r="F192" s="1" t="s">
        <v>460</v>
      </c>
      <c r="G192" s="91" t="s">
        <v>893</v>
      </c>
      <c r="H192" s="91"/>
      <c r="I192" s="171"/>
      <c r="J192" s="171"/>
      <c r="K192" s="171"/>
      <c r="L192" s="171">
        <v>33</v>
      </c>
      <c r="M192" s="171"/>
      <c r="N192" s="171"/>
      <c r="O192" s="171"/>
      <c r="P192" s="179">
        <f ca="1">IF(NFI_Expiration=1,IF($A192&lt;VLOOKUP(H$5,NFI,5,0),1,0)*Table_NFI[[#This Row],[Hygiene Kit]],Table_NFI[[#This Row],[Hygiene Kit]])</f>
        <v>0</v>
      </c>
      <c r="Q192" s="179">
        <f ca="1">IF(NFI_Expiration=1,IF($A192&lt;VLOOKUP(I$5,NFI,5,0),1,0)*Table_NFI[[#This Row],[NFI Core Kit]],Table_NFI[[#This Row],[NFI Core Kit]])</f>
        <v>0</v>
      </c>
      <c r="R192" s="179">
        <f ca="1">IF(NFI_Expiration=1,IF($A192&lt;VLOOKUP(J$5,NFI,5,0),1,0)*Table_NFI[[#This Row],[Sanitary Kit]],Table_NFI[[#This Row],[Sanitary Kit]])</f>
        <v>0</v>
      </c>
      <c r="S192" s="179">
        <f ca="1">IF(NFI_Expiration=1,IF($A192&lt;VLOOKUP(K$5,NFI,5,0),1,0)*Table_NFI[[#This Row],[Mosquitoe net]],Table_NFI[[#This Row],[Mosquitoe net]])</f>
        <v>0</v>
      </c>
      <c r="T192" s="179">
        <f ca="1">IF(NFI_Expiration=1,IF($A192&lt;VLOOKUP(L$5,NFI,5,0),1,0)*Table_NFI[[#This Row],[Tarpaulin]],Table_NFI[[#This Row],[Tarpaulin]])</f>
        <v>0</v>
      </c>
      <c r="U192" s="179">
        <f ca="1">IF(NFI_Expiration=1,IF($A192&lt;VLOOKUP(M$5,NFI,5,0),1,0)*Table_NFI[[#This Row],[Blanket]],Table_NFI[[#This Row],[Blanket]])</f>
        <v>0</v>
      </c>
      <c r="V192" s="179">
        <f ca="1">IF(NFI_Expiration=1,IF($A192&lt;VLOOKUP(N$5,NFI,5,0),1,0)*Table_NFI[[#This Row],[Kitchen Set]],Table_NFI[[#This Row],[Kitchen Set]])</f>
        <v>0</v>
      </c>
      <c r="W192" s="179">
        <f ca="1">IF(NFI_Expiration=1,IF($A192&lt;VLOOKUP(O$5,NFI,5,0),1,0)*Table_NFI[[#This Row],[Complementary Kit]],Table_NFI[[#This Row],[Complementary Kit]])</f>
        <v>0</v>
      </c>
    </row>
    <row r="193" spans="1:23" ht="15">
      <c r="A193" s="125">
        <f aca="true" t="shared" si="4" ref="A193:A258">IF(ISBLANK(B193),"",(TODAY()-B193)/30)</f>
        <v>19.5</v>
      </c>
      <c r="B193" s="115">
        <v>41097</v>
      </c>
      <c r="C193" s="91" t="s">
        <v>960</v>
      </c>
      <c r="D193" s="91"/>
      <c r="E193" s="91" t="s">
        <v>434</v>
      </c>
      <c r="F193" s="1" t="s">
        <v>460</v>
      </c>
      <c r="G193" s="91" t="s">
        <v>541</v>
      </c>
      <c r="H193" s="91"/>
      <c r="I193" s="171"/>
      <c r="J193" s="171"/>
      <c r="K193" s="171"/>
      <c r="L193" s="171">
        <v>52</v>
      </c>
      <c r="M193" s="171"/>
      <c r="N193" s="171"/>
      <c r="O193" s="171"/>
      <c r="P193" s="179">
        <f ca="1">IF(NFI_Expiration=1,IF($A193&lt;VLOOKUP(H$5,NFI,5,0),1,0)*Table_NFI[[#This Row],[Hygiene Kit]],Table_NFI[[#This Row],[Hygiene Kit]])</f>
        <v>0</v>
      </c>
      <c r="Q193" s="179">
        <f ca="1">IF(NFI_Expiration=1,IF($A193&lt;VLOOKUP(I$5,NFI,5,0),1,0)*Table_NFI[[#This Row],[NFI Core Kit]],Table_NFI[[#This Row],[NFI Core Kit]])</f>
        <v>0</v>
      </c>
      <c r="R193" s="179">
        <f ca="1">IF(NFI_Expiration=1,IF($A193&lt;VLOOKUP(J$5,NFI,5,0),1,0)*Table_NFI[[#This Row],[Sanitary Kit]],Table_NFI[[#This Row],[Sanitary Kit]])</f>
        <v>0</v>
      </c>
      <c r="S193" s="179">
        <f ca="1">IF(NFI_Expiration=1,IF($A193&lt;VLOOKUP(K$5,NFI,5,0),1,0)*Table_NFI[[#This Row],[Mosquitoe net]],Table_NFI[[#This Row],[Mosquitoe net]])</f>
        <v>0</v>
      </c>
      <c r="T193" s="179">
        <f ca="1">IF(NFI_Expiration=1,IF($A193&lt;VLOOKUP(L$5,NFI,5,0),1,0)*Table_NFI[[#This Row],[Tarpaulin]],Table_NFI[[#This Row],[Tarpaulin]])</f>
        <v>0</v>
      </c>
      <c r="U193" s="179">
        <f ca="1">IF(NFI_Expiration=1,IF($A193&lt;VLOOKUP(M$5,NFI,5,0),1,0)*Table_NFI[[#This Row],[Blanket]],Table_NFI[[#This Row],[Blanket]])</f>
        <v>0</v>
      </c>
      <c r="V193" s="179">
        <f ca="1">IF(NFI_Expiration=1,IF($A193&lt;VLOOKUP(N$5,NFI,5,0),1,0)*Table_NFI[[#This Row],[Kitchen Set]],Table_NFI[[#This Row],[Kitchen Set]])</f>
        <v>0</v>
      </c>
      <c r="W193" s="179">
        <f ca="1">IF(NFI_Expiration=1,IF($A193&lt;VLOOKUP(O$5,NFI,5,0),1,0)*Table_NFI[[#This Row],[Complementary Kit]],Table_NFI[[#This Row],[Complementary Kit]])</f>
        <v>0</v>
      </c>
    </row>
    <row r="194" spans="1:23" ht="15">
      <c r="A194" s="125">
        <f ca="1" t="shared" si="4"/>
        <v>19.5</v>
      </c>
      <c r="B194" s="115">
        <v>41097</v>
      </c>
      <c r="C194" s="91" t="s">
        <v>960</v>
      </c>
      <c r="D194" s="91"/>
      <c r="E194" s="91" t="s">
        <v>434</v>
      </c>
      <c r="F194" s="1" t="s">
        <v>460</v>
      </c>
      <c r="G194" s="91" t="s">
        <v>529</v>
      </c>
      <c r="H194" s="91"/>
      <c r="I194" s="171"/>
      <c r="J194" s="171"/>
      <c r="K194" s="171"/>
      <c r="L194" s="171">
        <v>9</v>
      </c>
      <c r="M194" s="171"/>
      <c r="N194" s="171"/>
      <c r="O194" s="171"/>
      <c r="P194" s="179">
        <f ca="1">IF(NFI_Expiration=1,IF($A194&lt;VLOOKUP(H$5,NFI,5,0),1,0)*Table_NFI[[#This Row],[Hygiene Kit]],Table_NFI[[#This Row],[Hygiene Kit]])</f>
        <v>0</v>
      </c>
      <c r="Q194" s="179">
        <f ca="1">IF(NFI_Expiration=1,IF($A194&lt;VLOOKUP(I$5,NFI,5,0),1,0)*Table_NFI[[#This Row],[NFI Core Kit]],Table_NFI[[#This Row],[NFI Core Kit]])</f>
        <v>0</v>
      </c>
      <c r="R194" s="179">
        <f ca="1">IF(NFI_Expiration=1,IF($A194&lt;VLOOKUP(J$5,NFI,5,0),1,0)*Table_NFI[[#This Row],[Sanitary Kit]],Table_NFI[[#This Row],[Sanitary Kit]])</f>
        <v>0</v>
      </c>
      <c r="S194" s="179">
        <f ca="1">IF(NFI_Expiration=1,IF($A194&lt;VLOOKUP(K$5,NFI,5,0),1,0)*Table_NFI[[#This Row],[Mosquitoe net]],Table_NFI[[#This Row],[Mosquitoe net]])</f>
        <v>0</v>
      </c>
      <c r="T194" s="179">
        <f ca="1">IF(NFI_Expiration=1,IF($A194&lt;VLOOKUP(L$5,NFI,5,0),1,0)*Table_NFI[[#This Row],[Tarpaulin]],Table_NFI[[#This Row],[Tarpaulin]])</f>
        <v>0</v>
      </c>
      <c r="U194" s="179">
        <f ca="1">IF(NFI_Expiration=1,IF($A194&lt;VLOOKUP(M$5,NFI,5,0),1,0)*Table_NFI[[#This Row],[Blanket]],Table_NFI[[#This Row],[Blanket]])</f>
        <v>0</v>
      </c>
      <c r="V194" s="179">
        <f ca="1">IF(NFI_Expiration=1,IF($A194&lt;VLOOKUP(N$5,NFI,5,0),1,0)*Table_NFI[[#This Row],[Kitchen Set]],Table_NFI[[#This Row],[Kitchen Set]])</f>
        <v>0</v>
      </c>
      <c r="W194" s="179">
        <f ca="1">IF(NFI_Expiration=1,IF($A194&lt;VLOOKUP(O$5,NFI,5,0),1,0)*Table_NFI[[#This Row],[Complementary Kit]],Table_NFI[[#This Row],[Complementary Kit]])</f>
        <v>0</v>
      </c>
    </row>
    <row r="195" spans="1:23" ht="15">
      <c r="A195" s="125">
        <f ca="1" t="shared" si="4"/>
        <v>19.566666666666666</v>
      </c>
      <c r="B195" s="115">
        <v>41095</v>
      </c>
      <c r="C195" s="91" t="s">
        <v>960</v>
      </c>
      <c r="D195" s="91"/>
      <c r="E195" s="91" t="s">
        <v>434</v>
      </c>
      <c r="F195" s="1" t="s">
        <v>460</v>
      </c>
      <c r="G195" s="91" t="s">
        <v>536</v>
      </c>
      <c r="H195" s="91"/>
      <c r="I195" s="171"/>
      <c r="J195" s="171"/>
      <c r="K195" s="171"/>
      <c r="L195" s="171">
        <v>43</v>
      </c>
      <c r="M195" s="171"/>
      <c r="N195" s="171"/>
      <c r="O195" s="171"/>
      <c r="P195" s="179">
        <f ca="1">IF(NFI_Expiration=1,IF($A195&lt;VLOOKUP(H$5,NFI,5,0),1,0)*Table_NFI[[#This Row],[Hygiene Kit]],Table_NFI[[#This Row],[Hygiene Kit]])</f>
        <v>0</v>
      </c>
      <c r="Q195" s="179">
        <f ca="1">IF(NFI_Expiration=1,IF($A195&lt;VLOOKUP(I$5,NFI,5,0),1,0)*Table_NFI[[#This Row],[NFI Core Kit]],Table_NFI[[#This Row],[NFI Core Kit]])</f>
        <v>0</v>
      </c>
      <c r="R195" s="179">
        <f ca="1">IF(NFI_Expiration=1,IF($A195&lt;VLOOKUP(J$5,NFI,5,0),1,0)*Table_NFI[[#This Row],[Sanitary Kit]],Table_NFI[[#This Row],[Sanitary Kit]])</f>
        <v>0</v>
      </c>
      <c r="S195" s="179">
        <f ca="1">IF(NFI_Expiration=1,IF($A195&lt;VLOOKUP(K$5,NFI,5,0),1,0)*Table_NFI[[#This Row],[Mosquitoe net]],Table_NFI[[#This Row],[Mosquitoe net]])</f>
        <v>0</v>
      </c>
      <c r="T195" s="179">
        <f ca="1">IF(NFI_Expiration=1,IF($A195&lt;VLOOKUP(L$5,NFI,5,0),1,0)*Table_NFI[[#This Row],[Tarpaulin]],Table_NFI[[#This Row],[Tarpaulin]])</f>
        <v>0</v>
      </c>
      <c r="U195" s="179">
        <f ca="1">IF(NFI_Expiration=1,IF($A195&lt;VLOOKUP(M$5,NFI,5,0),1,0)*Table_NFI[[#This Row],[Blanket]],Table_NFI[[#This Row],[Blanket]])</f>
        <v>0</v>
      </c>
      <c r="V195" s="179">
        <f ca="1">IF(NFI_Expiration=1,IF($A195&lt;VLOOKUP(N$5,NFI,5,0),1,0)*Table_NFI[[#This Row],[Kitchen Set]],Table_NFI[[#This Row],[Kitchen Set]])</f>
        <v>0</v>
      </c>
      <c r="W195" s="179">
        <f ca="1">IF(NFI_Expiration=1,IF($A195&lt;VLOOKUP(O$5,NFI,5,0),1,0)*Table_NFI[[#This Row],[Complementary Kit]],Table_NFI[[#This Row],[Complementary Kit]])</f>
        <v>0</v>
      </c>
    </row>
    <row r="196" spans="1:23" ht="15">
      <c r="A196" s="125">
        <f ca="1" t="shared" si="4"/>
        <v>19.566666666666666</v>
      </c>
      <c r="B196" s="115">
        <v>41095</v>
      </c>
      <c r="C196" s="91" t="s">
        <v>960</v>
      </c>
      <c r="D196" s="91"/>
      <c r="E196" s="91" t="s">
        <v>434</v>
      </c>
      <c r="F196" s="1" t="s">
        <v>460</v>
      </c>
      <c r="G196" s="91" t="s">
        <v>540</v>
      </c>
      <c r="H196" s="91"/>
      <c r="I196" s="171"/>
      <c r="J196" s="171"/>
      <c r="K196" s="171"/>
      <c r="L196" s="171">
        <v>36</v>
      </c>
      <c r="M196" s="171"/>
      <c r="N196" s="171"/>
      <c r="O196" s="171"/>
      <c r="P196" s="179">
        <f ca="1">IF(NFI_Expiration=1,IF($A196&lt;VLOOKUP(H$5,NFI,5,0),1,0)*Table_NFI[[#This Row],[Hygiene Kit]],Table_NFI[[#This Row],[Hygiene Kit]])</f>
        <v>0</v>
      </c>
      <c r="Q196" s="179">
        <f ca="1">IF(NFI_Expiration=1,IF($A196&lt;VLOOKUP(I$5,NFI,5,0),1,0)*Table_NFI[[#This Row],[NFI Core Kit]],Table_NFI[[#This Row],[NFI Core Kit]])</f>
        <v>0</v>
      </c>
      <c r="R196" s="179">
        <f ca="1">IF(NFI_Expiration=1,IF($A196&lt;VLOOKUP(J$5,NFI,5,0),1,0)*Table_NFI[[#This Row],[Sanitary Kit]],Table_NFI[[#This Row],[Sanitary Kit]])</f>
        <v>0</v>
      </c>
      <c r="S196" s="179">
        <f ca="1">IF(NFI_Expiration=1,IF($A196&lt;VLOOKUP(K$5,NFI,5,0),1,0)*Table_NFI[[#This Row],[Mosquitoe net]],Table_NFI[[#This Row],[Mosquitoe net]])</f>
        <v>0</v>
      </c>
      <c r="T196" s="179">
        <f ca="1">IF(NFI_Expiration=1,IF($A196&lt;VLOOKUP(L$5,NFI,5,0),1,0)*Table_NFI[[#This Row],[Tarpaulin]],Table_NFI[[#This Row],[Tarpaulin]])</f>
        <v>0</v>
      </c>
      <c r="U196" s="179">
        <f ca="1">IF(NFI_Expiration=1,IF($A196&lt;VLOOKUP(M$5,NFI,5,0),1,0)*Table_NFI[[#This Row],[Blanket]],Table_NFI[[#This Row],[Blanket]])</f>
        <v>0</v>
      </c>
      <c r="V196" s="179">
        <f ca="1">IF(NFI_Expiration=1,IF($A196&lt;VLOOKUP(N$5,NFI,5,0),1,0)*Table_NFI[[#This Row],[Kitchen Set]],Table_NFI[[#This Row],[Kitchen Set]])</f>
        <v>0</v>
      </c>
      <c r="W196" s="179">
        <f ca="1">IF(NFI_Expiration=1,IF($A196&lt;VLOOKUP(O$5,NFI,5,0),1,0)*Table_NFI[[#This Row],[Complementary Kit]],Table_NFI[[#This Row],[Complementary Kit]])</f>
        <v>0</v>
      </c>
    </row>
    <row r="197" spans="1:23" ht="15">
      <c r="A197" s="125">
        <f ca="1" t="shared" si="4"/>
        <v>19.566666666666666</v>
      </c>
      <c r="B197" s="115">
        <v>41095</v>
      </c>
      <c r="C197" s="91" t="s">
        <v>960</v>
      </c>
      <c r="D197" s="91"/>
      <c r="E197" s="91" t="s">
        <v>434</v>
      </c>
      <c r="F197" s="1" t="s">
        <v>460</v>
      </c>
      <c r="G197" s="91" t="s">
        <v>528</v>
      </c>
      <c r="H197" s="91"/>
      <c r="I197" s="171"/>
      <c r="J197" s="171"/>
      <c r="K197" s="171"/>
      <c r="L197" s="171">
        <v>69</v>
      </c>
      <c r="M197" s="171"/>
      <c r="N197" s="171"/>
      <c r="O197" s="171"/>
      <c r="P197" s="179">
        <f ca="1">IF(NFI_Expiration=1,IF($A197&lt;VLOOKUP(H$5,NFI,5,0),1,0)*Table_NFI[[#This Row],[Hygiene Kit]],Table_NFI[[#This Row],[Hygiene Kit]])</f>
        <v>0</v>
      </c>
      <c r="Q197" s="179">
        <f ca="1">IF(NFI_Expiration=1,IF($A197&lt;VLOOKUP(I$5,NFI,5,0),1,0)*Table_NFI[[#This Row],[NFI Core Kit]],Table_NFI[[#This Row],[NFI Core Kit]])</f>
        <v>0</v>
      </c>
      <c r="R197" s="179">
        <f ca="1">IF(NFI_Expiration=1,IF($A197&lt;VLOOKUP(J$5,NFI,5,0),1,0)*Table_NFI[[#This Row],[Sanitary Kit]],Table_NFI[[#This Row],[Sanitary Kit]])</f>
        <v>0</v>
      </c>
      <c r="S197" s="179">
        <f ca="1">IF(NFI_Expiration=1,IF($A197&lt;VLOOKUP(K$5,NFI,5,0),1,0)*Table_NFI[[#This Row],[Mosquitoe net]],Table_NFI[[#This Row],[Mosquitoe net]])</f>
        <v>0</v>
      </c>
      <c r="T197" s="179">
        <f ca="1">IF(NFI_Expiration=1,IF($A197&lt;VLOOKUP(L$5,NFI,5,0),1,0)*Table_NFI[[#This Row],[Tarpaulin]],Table_NFI[[#This Row],[Tarpaulin]])</f>
        <v>0</v>
      </c>
      <c r="U197" s="179">
        <f ca="1">IF(NFI_Expiration=1,IF($A197&lt;VLOOKUP(M$5,NFI,5,0),1,0)*Table_NFI[[#This Row],[Blanket]],Table_NFI[[#This Row],[Blanket]])</f>
        <v>0</v>
      </c>
      <c r="V197" s="179">
        <f ca="1">IF(NFI_Expiration=1,IF($A197&lt;VLOOKUP(N$5,NFI,5,0),1,0)*Table_NFI[[#This Row],[Kitchen Set]],Table_NFI[[#This Row],[Kitchen Set]])</f>
        <v>0</v>
      </c>
      <c r="W197" s="179">
        <f ca="1">IF(NFI_Expiration=1,IF($A197&lt;VLOOKUP(O$5,NFI,5,0),1,0)*Table_NFI[[#This Row],[Complementary Kit]],Table_NFI[[#This Row],[Complementary Kit]])</f>
        <v>0</v>
      </c>
    </row>
    <row r="198" spans="1:23" ht="15">
      <c r="A198" s="125">
        <f ca="1" t="shared" si="4"/>
        <v>19.566666666666666</v>
      </c>
      <c r="B198" s="115">
        <v>41095</v>
      </c>
      <c r="C198" s="91" t="s">
        <v>960</v>
      </c>
      <c r="D198" s="91"/>
      <c r="E198" s="91" t="s">
        <v>434</v>
      </c>
      <c r="F198" s="1" t="s">
        <v>460</v>
      </c>
      <c r="G198" s="91" t="s">
        <v>533</v>
      </c>
      <c r="H198" s="91"/>
      <c r="I198" s="171"/>
      <c r="J198" s="171"/>
      <c r="K198" s="171"/>
      <c r="L198" s="171">
        <v>280</v>
      </c>
      <c r="M198" s="171"/>
      <c r="N198" s="171"/>
      <c r="O198" s="171"/>
      <c r="P198" s="179">
        <f ca="1">IF(NFI_Expiration=1,IF($A198&lt;VLOOKUP(H$5,NFI,5,0),1,0)*Table_NFI[[#This Row],[Hygiene Kit]],Table_NFI[[#This Row],[Hygiene Kit]])</f>
        <v>0</v>
      </c>
      <c r="Q198" s="179">
        <f ca="1">IF(NFI_Expiration=1,IF($A198&lt;VLOOKUP(I$5,NFI,5,0),1,0)*Table_NFI[[#This Row],[NFI Core Kit]],Table_NFI[[#This Row],[NFI Core Kit]])</f>
        <v>0</v>
      </c>
      <c r="R198" s="179">
        <f ca="1">IF(NFI_Expiration=1,IF($A198&lt;VLOOKUP(J$5,NFI,5,0),1,0)*Table_NFI[[#This Row],[Sanitary Kit]],Table_NFI[[#This Row],[Sanitary Kit]])</f>
        <v>0</v>
      </c>
      <c r="S198" s="179">
        <f ca="1">IF(NFI_Expiration=1,IF($A198&lt;VLOOKUP(K$5,NFI,5,0),1,0)*Table_NFI[[#This Row],[Mosquitoe net]],Table_NFI[[#This Row],[Mosquitoe net]])</f>
        <v>0</v>
      </c>
      <c r="T198" s="179">
        <f ca="1">IF(NFI_Expiration=1,IF($A198&lt;VLOOKUP(L$5,NFI,5,0),1,0)*Table_NFI[[#This Row],[Tarpaulin]],Table_NFI[[#This Row],[Tarpaulin]])</f>
        <v>0</v>
      </c>
      <c r="U198" s="179">
        <f ca="1">IF(NFI_Expiration=1,IF($A198&lt;VLOOKUP(M$5,NFI,5,0),1,0)*Table_NFI[[#This Row],[Blanket]],Table_NFI[[#This Row],[Blanket]])</f>
        <v>0</v>
      </c>
      <c r="V198" s="179">
        <f ca="1">IF(NFI_Expiration=1,IF($A198&lt;VLOOKUP(N$5,NFI,5,0),1,0)*Table_NFI[[#This Row],[Kitchen Set]],Table_NFI[[#This Row],[Kitchen Set]])</f>
        <v>0</v>
      </c>
      <c r="W198" s="179">
        <f ca="1">IF(NFI_Expiration=1,IF($A198&lt;VLOOKUP(O$5,NFI,5,0),1,0)*Table_NFI[[#This Row],[Complementary Kit]],Table_NFI[[#This Row],[Complementary Kit]])</f>
        <v>0</v>
      </c>
    </row>
    <row r="199" spans="1:23" ht="15">
      <c r="A199" s="125">
        <f ca="1" t="shared" si="4"/>
        <v>19.566666666666666</v>
      </c>
      <c r="B199" s="115">
        <v>41095</v>
      </c>
      <c r="C199" s="91" t="s">
        <v>960</v>
      </c>
      <c r="D199" s="91"/>
      <c r="E199" s="91" t="s">
        <v>434</v>
      </c>
      <c r="F199" s="1" t="s">
        <v>460</v>
      </c>
      <c r="G199" s="91" t="s">
        <v>892</v>
      </c>
      <c r="H199" s="91"/>
      <c r="I199" s="171"/>
      <c r="J199" s="171"/>
      <c r="K199" s="171"/>
      <c r="L199" s="171">
        <v>171</v>
      </c>
      <c r="M199" s="171"/>
      <c r="N199" s="171"/>
      <c r="O199" s="171"/>
      <c r="P199" s="179">
        <f ca="1">IF(NFI_Expiration=1,IF($A199&lt;VLOOKUP(H$5,NFI,5,0),1,0)*Table_NFI[[#This Row],[Hygiene Kit]],Table_NFI[[#This Row],[Hygiene Kit]])</f>
        <v>0</v>
      </c>
      <c r="Q199" s="179">
        <f ca="1">IF(NFI_Expiration=1,IF($A199&lt;VLOOKUP(I$5,NFI,5,0),1,0)*Table_NFI[[#This Row],[NFI Core Kit]],Table_NFI[[#This Row],[NFI Core Kit]])</f>
        <v>0</v>
      </c>
      <c r="R199" s="179">
        <f ca="1">IF(NFI_Expiration=1,IF($A199&lt;VLOOKUP(J$5,NFI,5,0),1,0)*Table_NFI[[#This Row],[Sanitary Kit]],Table_NFI[[#This Row],[Sanitary Kit]])</f>
        <v>0</v>
      </c>
      <c r="S199" s="179">
        <f ca="1">IF(NFI_Expiration=1,IF($A199&lt;VLOOKUP(K$5,NFI,5,0),1,0)*Table_NFI[[#This Row],[Mosquitoe net]],Table_NFI[[#This Row],[Mosquitoe net]])</f>
        <v>0</v>
      </c>
      <c r="T199" s="179">
        <f ca="1">IF(NFI_Expiration=1,IF($A199&lt;VLOOKUP(L$5,NFI,5,0),1,0)*Table_NFI[[#This Row],[Tarpaulin]],Table_NFI[[#This Row],[Tarpaulin]])</f>
        <v>0</v>
      </c>
      <c r="U199" s="179">
        <f ca="1">IF(NFI_Expiration=1,IF($A199&lt;VLOOKUP(M$5,NFI,5,0),1,0)*Table_NFI[[#This Row],[Blanket]],Table_NFI[[#This Row],[Blanket]])</f>
        <v>0</v>
      </c>
      <c r="V199" s="179">
        <f ca="1">IF(NFI_Expiration=1,IF($A199&lt;VLOOKUP(N$5,NFI,5,0),1,0)*Table_NFI[[#This Row],[Kitchen Set]],Table_NFI[[#This Row],[Kitchen Set]])</f>
        <v>0</v>
      </c>
      <c r="W199" s="179">
        <f ca="1">IF(NFI_Expiration=1,IF($A199&lt;VLOOKUP(O$5,NFI,5,0),1,0)*Table_NFI[[#This Row],[Complementary Kit]],Table_NFI[[#This Row],[Complementary Kit]])</f>
        <v>0</v>
      </c>
    </row>
    <row r="200" spans="1:23" ht="15">
      <c r="A200" s="125">
        <f ca="1" t="shared" si="4"/>
        <v>19.566666666666666</v>
      </c>
      <c r="B200" s="115">
        <v>41095</v>
      </c>
      <c r="C200" s="91" t="s">
        <v>960</v>
      </c>
      <c r="D200" s="91"/>
      <c r="E200" s="91" t="s">
        <v>434</v>
      </c>
      <c r="F200" s="1" t="s">
        <v>460</v>
      </c>
      <c r="G200" s="91" t="s">
        <v>509</v>
      </c>
      <c r="H200" s="91"/>
      <c r="I200" s="171"/>
      <c r="J200" s="171"/>
      <c r="K200" s="171"/>
      <c r="L200" s="171">
        <v>132</v>
      </c>
      <c r="M200" s="171"/>
      <c r="N200" s="171"/>
      <c r="O200" s="171"/>
      <c r="P200" s="179">
        <f ca="1">IF(NFI_Expiration=1,IF($A200&lt;VLOOKUP(H$5,NFI,5,0),1,0)*Table_NFI[[#This Row],[Hygiene Kit]],Table_NFI[[#This Row],[Hygiene Kit]])</f>
        <v>0</v>
      </c>
      <c r="Q200" s="179">
        <f ca="1">IF(NFI_Expiration=1,IF($A200&lt;VLOOKUP(I$5,NFI,5,0),1,0)*Table_NFI[[#This Row],[NFI Core Kit]],Table_NFI[[#This Row],[NFI Core Kit]])</f>
        <v>0</v>
      </c>
      <c r="R200" s="179">
        <f ca="1">IF(NFI_Expiration=1,IF($A200&lt;VLOOKUP(J$5,NFI,5,0),1,0)*Table_NFI[[#This Row],[Sanitary Kit]],Table_NFI[[#This Row],[Sanitary Kit]])</f>
        <v>0</v>
      </c>
      <c r="S200" s="179">
        <f ca="1">IF(NFI_Expiration=1,IF($A200&lt;VLOOKUP(K$5,NFI,5,0),1,0)*Table_NFI[[#This Row],[Mosquitoe net]],Table_NFI[[#This Row],[Mosquitoe net]])</f>
        <v>0</v>
      </c>
      <c r="T200" s="179">
        <f ca="1">IF(NFI_Expiration=1,IF($A200&lt;VLOOKUP(L$5,NFI,5,0),1,0)*Table_NFI[[#This Row],[Tarpaulin]],Table_NFI[[#This Row],[Tarpaulin]])</f>
        <v>0</v>
      </c>
      <c r="U200" s="179">
        <f ca="1">IF(NFI_Expiration=1,IF($A200&lt;VLOOKUP(M$5,NFI,5,0),1,0)*Table_NFI[[#This Row],[Blanket]],Table_NFI[[#This Row],[Blanket]])</f>
        <v>0</v>
      </c>
      <c r="V200" s="179">
        <f ca="1">IF(NFI_Expiration=1,IF($A200&lt;VLOOKUP(N$5,NFI,5,0),1,0)*Table_NFI[[#This Row],[Kitchen Set]],Table_NFI[[#This Row],[Kitchen Set]])</f>
        <v>0</v>
      </c>
      <c r="W200" s="179">
        <f ca="1">IF(NFI_Expiration=1,IF($A200&lt;VLOOKUP(O$5,NFI,5,0),1,0)*Table_NFI[[#This Row],[Complementary Kit]],Table_NFI[[#This Row],[Complementary Kit]])</f>
        <v>0</v>
      </c>
    </row>
    <row r="201" spans="1:23" ht="15">
      <c r="A201" s="125">
        <f ca="1" t="shared" si="4"/>
        <v>19.566666666666666</v>
      </c>
      <c r="B201" s="115">
        <v>41095</v>
      </c>
      <c r="C201" s="91" t="s">
        <v>960</v>
      </c>
      <c r="D201" s="91"/>
      <c r="E201" s="91" t="s">
        <v>434</v>
      </c>
      <c r="F201" s="1" t="s">
        <v>460</v>
      </c>
      <c r="G201" s="91" t="s">
        <v>508</v>
      </c>
      <c r="H201" s="91"/>
      <c r="I201" s="171"/>
      <c r="J201" s="171"/>
      <c r="K201" s="171"/>
      <c r="L201" s="171">
        <v>18</v>
      </c>
      <c r="M201" s="171"/>
      <c r="N201" s="171"/>
      <c r="O201" s="171"/>
      <c r="P201" s="179">
        <f ca="1">IF(NFI_Expiration=1,IF($A201&lt;VLOOKUP(H$5,NFI,5,0),1,0)*Table_NFI[[#This Row],[Hygiene Kit]],Table_NFI[[#This Row],[Hygiene Kit]])</f>
        <v>0</v>
      </c>
      <c r="Q201" s="179">
        <f ca="1">IF(NFI_Expiration=1,IF($A201&lt;VLOOKUP(I$5,NFI,5,0),1,0)*Table_NFI[[#This Row],[NFI Core Kit]],Table_NFI[[#This Row],[NFI Core Kit]])</f>
        <v>0</v>
      </c>
      <c r="R201" s="179">
        <f ca="1">IF(NFI_Expiration=1,IF($A201&lt;VLOOKUP(J$5,NFI,5,0),1,0)*Table_NFI[[#This Row],[Sanitary Kit]],Table_NFI[[#This Row],[Sanitary Kit]])</f>
        <v>0</v>
      </c>
      <c r="S201" s="179">
        <f ca="1">IF(NFI_Expiration=1,IF($A201&lt;VLOOKUP(K$5,NFI,5,0),1,0)*Table_NFI[[#This Row],[Mosquitoe net]],Table_NFI[[#This Row],[Mosquitoe net]])</f>
        <v>0</v>
      </c>
      <c r="T201" s="179">
        <f ca="1">IF(NFI_Expiration=1,IF($A201&lt;VLOOKUP(L$5,NFI,5,0),1,0)*Table_NFI[[#This Row],[Tarpaulin]],Table_NFI[[#This Row],[Tarpaulin]])</f>
        <v>0</v>
      </c>
      <c r="U201" s="179">
        <f ca="1">IF(NFI_Expiration=1,IF($A201&lt;VLOOKUP(M$5,NFI,5,0),1,0)*Table_NFI[[#This Row],[Blanket]],Table_NFI[[#This Row],[Blanket]])</f>
        <v>0</v>
      </c>
      <c r="V201" s="179">
        <f ca="1">IF(NFI_Expiration=1,IF($A201&lt;VLOOKUP(N$5,NFI,5,0),1,0)*Table_NFI[[#This Row],[Kitchen Set]],Table_NFI[[#This Row],[Kitchen Set]])</f>
        <v>0</v>
      </c>
      <c r="W201" s="179">
        <f ca="1">IF(NFI_Expiration=1,IF($A201&lt;VLOOKUP(O$5,NFI,5,0),1,0)*Table_NFI[[#This Row],[Complementary Kit]],Table_NFI[[#This Row],[Complementary Kit]])</f>
        <v>0</v>
      </c>
    </row>
    <row r="202" spans="1:23" ht="15">
      <c r="A202" s="125">
        <f ca="1" t="shared" si="4"/>
        <v>19.733333333333334</v>
      </c>
      <c r="B202" s="115">
        <v>41090</v>
      </c>
      <c r="C202" s="91" t="s">
        <v>960</v>
      </c>
      <c r="D202" s="91"/>
      <c r="E202" s="91" t="s">
        <v>434</v>
      </c>
      <c r="F202" s="1" t="s">
        <v>460</v>
      </c>
      <c r="G202" s="91" t="s">
        <v>522</v>
      </c>
      <c r="H202" s="91"/>
      <c r="I202" s="171"/>
      <c r="J202" s="171"/>
      <c r="K202" s="171"/>
      <c r="L202" s="171">
        <v>103</v>
      </c>
      <c r="M202" s="171"/>
      <c r="N202" s="171"/>
      <c r="O202" s="171"/>
      <c r="P202" s="179">
        <f ca="1">IF(NFI_Expiration=1,IF($A202&lt;VLOOKUP(H$5,NFI,5,0),1,0)*Table_NFI[[#This Row],[Hygiene Kit]],Table_NFI[[#This Row],[Hygiene Kit]])</f>
        <v>0</v>
      </c>
      <c r="Q202" s="179">
        <f ca="1">IF(NFI_Expiration=1,IF($A202&lt;VLOOKUP(I$5,NFI,5,0),1,0)*Table_NFI[[#This Row],[NFI Core Kit]],Table_NFI[[#This Row],[NFI Core Kit]])</f>
        <v>0</v>
      </c>
      <c r="R202" s="179">
        <f ca="1">IF(NFI_Expiration=1,IF($A202&lt;VLOOKUP(J$5,NFI,5,0),1,0)*Table_NFI[[#This Row],[Sanitary Kit]],Table_NFI[[#This Row],[Sanitary Kit]])</f>
        <v>0</v>
      </c>
      <c r="S202" s="179">
        <f ca="1">IF(NFI_Expiration=1,IF($A202&lt;VLOOKUP(K$5,NFI,5,0),1,0)*Table_NFI[[#This Row],[Mosquitoe net]],Table_NFI[[#This Row],[Mosquitoe net]])</f>
        <v>0</v>
      </c>
      <c r="T202" s="179">
        <f ca="1">IF(NFI_Expiration=1,IF($A202&lt;VLOOKUP(L$5,NFI,5,0),1,0)*Table_NFI[[#This Row],[Tarpaulin]],Table_NFI[[#This Row],[Tarpaulin]])</f>
        <v>0</v>
      </c>
      <c r="U202" s="179">
        <f ca="1">IF(NFI_Expiration=1,IF($A202&lt;VLOOKUP(M$5,NFI,5,0),1,0)*Table_NFI[[#This Row],[Blanket]],Table_NFI[[#This Row],[Blanket]])</f>
        <v>0</v>
      </c>
      <c r="V202" s="179">
        <f ca="1">IF(NFI_Expiration=1,IF($A202&lt;VLOOKUP(N$5,NFI,5,0),1,0)*Table_NFI[[#This Row],[Kitchen Set]],Table_NFI[[#This Row],[Kitchen Set]])</f>
        <v>0</v>
      </c>
      <c r="W202" s="179">
        <f ca="1">IF(NFI_Expiration=1,IF($A202&lt;VLOOKUP(O$5,NFI,5,0),1,0)*Table_NFI[[#This Row],[Complementary Kit]],Table_NFI[[#This Row],[Complementary Kit]])</f>
        <v>0</v>
      </c>
    </row>
    <row r="203" spans="1:23" ht="15">
      <c r="A203" s="125">
        <f ca="1" t="shared" si="4"/>
        <v>19.733333333333334</v>
      </c>
      <c r="B203" s="115">
        <v>41090</v>
      </c>
      <c r="C203" s="91" t="s">
        <v>960</v>
      </c>
      <c r="D203" s="91"/>
      <c r="E203" s="91" t="s">
        <v>434</v>
      </c>
      <c r="F203" s="1" t="s">
        <v>460</v>
      </c>
      <c r="G203" s="91" t="s">
        <v>888</v>
      </c>
      <c r="H203" s="91"/>
      <c r="I203" s="171"/>
      <c r="J203" s="171"/>
      <c r="K203" s="171"/>
      <c r="L203" s="171">
        <v>35</v>
      </c>
      <c r="M203" s="171"/>
      <c r="N203" s="171"/>
      <c r="O203" s="171"/>
      <c r="P203" s="179">
        <f ca="1">IF(NFI_Expiration=1,IF($A203&lt;VLOOKUP(H$5,NFI,5,0),1,0)*Table_NFI[[#This Row],[Hygiene Kit]],Table_NFI[[#This Row],[Hygiene Kit]])</f>
        <v>0</v>
      </c>
      <c r="Q203" s="179">
        <f ca="1">IF(NFI_Expiration=1,IF($A203&lt;VLOOKUP(I$5,NFI,5,0),1,0)*Table_NFI[[#This Row],[NFI Core Kit]],Table_NFI[[#This Row],[NFI Core Kit]])</f>
        <v>0</v>
      </c>
      <c r="R203" s="179">
        <f ca="1">IF(NFI_Expiration=1,IF($A203&lt;VLOOKUP(J$5,NFI,5,0),1,0)*Table_NFI[[#This Row],[Sanitary Kit]],Table_NFI[[#This Row],[Sanitary Kit]])</f>
        <v>0</v>
      </c>
      <c r="S203" s="179">
        <f ca="1">IF(NFI_Expiration=1,IF($A203&lt;VLOOKUP(K$5,NFI,5,0),1,0)*Table_NFI[[#This Row],[Mosquitoe net]],Table_NFI[[#This Row],[Mosquitoe net]])</f>
        <v>0</v>
      </c>
      <c r="T203" s="179">
        <f ca="1">IF(NFI_Expiration=1,IF($A203&lt;VLOOKUP(L$5,NFI,5,0),1,0)*Table_NFI[[#This Row],[Tarpaulin]],Table_NFI[[#This Row],[Tarpaulin]])</f>
        <v>0</v>
      </c>
      <c r="U203" s="179">
        <f ca="1">IF(NFI_Expiration=1,IF($A203&lt;VLOOKUP(M$5,NFI,5,0),1,0)*Table_NFI[[#This Row],[Blanket]],Table_NFI[[#This Row],[Blanket]])</f>
        <v>0</v>
      </c>
      <c r="V203" s="179">
        <f ca="1">IF(NFI_Expiration=1,IF($A203&lt;VLOOKUP(N$5,NFI,5,0),1,0)*Table_NFI[[#This Row],[Kitchen Set]],Table_NFI[[#This Row],[Kitchen Set]])</f>
        <v>0</v>
      </c>
      <c r="W203" s="179">
        <f ca="1">IF(NFI_Expiration=1,IF($A203&lt;VLOOKUP(O$5,NFI,5,0),1,0)*Table_NFI[[#This Row],[Complementary Kit]],Table_NFI[[#This Row],[Complementary Kit]])</f>
        <v>0</v>
      </c>
    </row>
    <row r="204" spans="1:23" ht="15">
      <c r="A204" s="125">
        <f ca="1" t="shared" si="4"/>
        <v>19.733333333333334</v>
      </c>
      <c r="B204" s="115">
        <v>41090</v>
      </c>
      <c r="C204" s="91" t="s">
        <v>960</v>
      </c>
      <c r="D204" s="91"/>
      <c r="E204" s="91" t="s">
        <v>434</v>
      </c>
      <c r="F204" s="1" t="s">
        <v>460</v>
      </c>
      <c r="G204" s="91" t="s">
        <v>889</v>
      </c>
      <c r="H204" s="91"/>
      <c r="I204" s="171"/>
      <c r="J204" s="171"/>
      <c r="K204" s="171"/>
      <c r="L204" s="171">
        <v>36</v>
      </c>
      <c r="M204" s="171"/>
      <c r="N204" s="171"/>
      <c r="O204" s="171"/>
      <c r="P204" s="179">
        <f ca="1">IF(NFI_Expiration=1,IF($A204&lt;VLOOKUP(H$5,NFI,5,0),1,0)*Table_NFI[[#This Row],[Hygiene Kit]],Table_NFI[[#This Row],[Hygiene Kit]])</f>
        <v>0</v>
      </c>
      <c r="Q204" s="179">
        <f ca="1">IF(NFI_Expiration=1,IF($A204&lt;VLOOKUP(I$5,NFI,5,0),1,0)*Table_NFI[[#This Row],[NFI Core Kit]],Table_NFI[[#This Row],[NFI Core Kit]])</f>
        <v>0</v>
      </c>
      <c r="R204" s="179">
        <f ca="1">IF(NFI_Expiration=1,IF($A204&lt;VLOOKUP(J$5,NFI,5,0),1,0)*Table_NFI[[#This Row],[Sanitary Kit]],Table_NFI[[#This Row],[Sanitary Kit]])</f>
        <v>0</v>
      </c>
      <c r="S204" s="179">
        <f ca="1">IF(NFI_Expiration=1,IF($A204&lt;VLOOKUP(K$5,NFI,5,0),1,0)*Table_NFI[[#This Row],[Mosquitoe net]],Table_NFI[[#This Row],[Mosquitoe net]])</f>
        <v>0</v>
      </c>
      <c r="T204" s="179">
        <f ca="1">IF(NFI_Expiration=1,IF($A204&lt;VLOOKUP(L$5,NFI,5,0),1,0)*Table_NFI[[#This Row],[Tarpaulin]],Table_NFI[[#This Row],[Tarpaulin]])</f>
        <v>0</v>
      </c>
      <c r="U204" s="179">
        <f ca="1">IF(NFI_Expiration=1,IF($A204&lt;VLOOKUP(M$5,NFI,5,0),1,0)*Table_NFI[[#This Row],[Blanket]],Table_NFI[[#This Row],[Blanket]])</f>
        <v>0</v>
      </c>
      <c r="V204" s="179">
        <f ca="1">IF(NFI_Expiration=1,IF($A204&lt;VLOOKUP(N$5,NFI,5,0),1,0)*Table_NFI[[#This Row],[Kitchen Set]],Table_NFI[[#This Row],[Kitchen Set]])</f>
        <v>0</v>
      </c>
      <c r="W204" s="179">
        <f ca="1">IF(NFI_Expiration=1,IF($A204&lt;VLOOKUP(O$5,NFI,5,0),1,0)*Table_NFI[[#This Row],[Complementary Kit]],Table_NFI[[#This Row],[Complementary Kit]])</f>
        <v>0</v>
      </c>
    </row>
    <row r="205" spans="1:23" ht="15">
      <c r="A205" s="125">
        <f ca="1" t="shared" si="4"/>
        <v>19.733333333333334</v>
      </c>
      <c r="B205" s="115">
        <v>41090</v>
      </c>
      <c r="C205" s="91" t="s">
        <v>960</v>
      </c>
      <c r="D205" s="91"/>
      <c r="E205" s="91" t="s">
        <v>434</v>
      </c>
      <c r="F205" s="1" t="s">
        <v>460</v>
      </c>
      <c r="G205" s="91" t="s">
        <v>531</v>
      </c>
      <c r="H205" s="91"/>
      <c r="I205" s="171"/>
      <c r="J205" s="171"/>
      <c r="K205" s="171"/>
      <c r="L205" s="171">
        <v>9</v>
      </c>
      <c r="M205" s="171"/>
      <c r="N205" s="171"/>
      <c r="O205" s="171"/>
      <c r="P205" s="179">
        <f ca="1">IF(NFI_Expiration=1,IF($A205&lt;VLOOKUP(H$5,NFI,5,0),1,0)*Table_NFI[[#This Row],[Hygiene Kit]],Table_NFI[[#This Row],[Hygiene Kit]])</f>
        <v>0</v>
      </c>
      <c r="Q205" s="179">
        <f ca="1">IF(NFI_Expiration=1,IF($A205&lt;VLOOKUP(I$5,NFI,5,0),1,0)*Table_NFI[[#This Row],[NFI Core Kit]],Table_NFI[[#This Row],[NFI Core Kit]])</f>
        <v>0</v>
      </c>
      <c r="R205" s="179">
        <f ca="1">IF(NFI_Expiration=1,IF($A205&lt;VLOOKUP(J$5,NFI,5,0),1,0)*Table_NFI[[#This Row],[Sanitary Kit]],Table_NFI[[#This Row],[Sanitary Kit]])</f>
        <v>0</v>
      </c>
      <c r="S205" s="179">
        <f ca="1">IF(NFI_Expiration=1,IF($A205&lt;VLOOKUP(K$5,NFI,5,0),1,0)*Table_NFI[[#This Row],[Mosquitoe net]],Table_NFI[[#This Row],[Mosquitoe net]])</f>
        <v>0</v>
      </c>
      <c r="T205" s="179">
        <f ca="1">IF(NFI_Expiration=1,IF($A205&lt;VLOOKUP(L$5,NFI,5,0),1,0)*Table_NFI[[#This Row],[Tarpaulin]],Table_NFI[[#This Row],[Tarpaulin]])</f>
        <v>0</v>
      </c>
      <c r="U205" s="179">
        <f ca="1">IF(NFI_Expiration=1,IF($A205&lt;VLOOKUP(M$5,NFI,5,0),1,0)*Table_NFI[[#This Row],[Blanket]],Table_NFI[[#This Row],[Blanket]])</f>
        <v>0</v>
      </c>
      <c r="V205" s="179">
        <f ca="1">IF(NFI_Expiration=1,IF($A205&lt;VLOOKUP(N$5,NFI,5,0),1,0)*Table_NFI[[#This Row],[Kitchen Set]],Table_NFI[[#This Row],[Kitchen Set]])</f>
        <v>0</v>
      </c>
      <c r="W205" s="179">
        <f ca="1">IF(NFI_Expiration=1,IF($A205&lt;VLOOKUP(O$5,NFI,5,0),1,0)*Table_NFI[[#This Row],[Complementary Kit]],Table_NFI[[#This Row],[Complementary Kit]])</f>
        <v>0</v>
      </c>
    </row>
    <row r="206" spans="1:23" ht="15">
      <c r="A206" s="125">
        <f ca="1" t="shared" si="4"/>
        <v>19.733333333333334</v>
      </c>
      <c r="B206" s="115">
        <v>41090</v>
      </c>
      <c r="C206" s="91" t="s">
        <v>960</v>
      </c>
      <c r="D206" s="91"/>
      <c r="E206" s="91" t="s">
        <v>434</v>
      </c>
      <c r="F206" s="1" t="s">
        <v>460</v>
      </c>
      <c r="G206" s="91" t="s">
        <v>890</v>
      </c>
      <c r="H206" s="91"/>
      <c r="I206" s="171"/>
      <c r="J206" s="171"/>
      <c r="K206" s="171"/>
      <c r="L206" s="171">
        <v>20</v>
      </c>
      <c r="M206" s="171"/>
      <c r="N206" s="171"/>
      <c r="O206" s="171"/>
      <c r="P206" s="179">
        <f ca="1">IF(NFI_Expiration=1,IF($A206&lt;VLOOKUP(H$5,NFI,5,0),1,0)*Table_NFI[[#This Row],[Hygiene Kit]],Table_NFI[[#This Row],[Hygiene Kit]])</f>
        <v>0</v>
      </c>
      <c r="Q206" s="179">
        <f ca="1">IF(NFI_Expiration=1,IF($A206&lt;VLOOKUP(I$5,NFI,5,0),1,0)*Table_NFI[[#This Row],[NFI Core Kit]],Table_NFI[[#This Row],[NFI Core Kit]])</f>
        <v>0</v>
      </c>
      <c r="R206" s="179">
        <f ca="1">IF(NFI_Expiration=1,IF($A206&lt;VLOOKUP(J$5,NFI,5,0),1,0)*Table_NFI[[#This Row],[Sanitary Kit]],Table_NFI[[#This Row],[Sanitary Kit]])</f>
        <v>0</v>
      </c>
      <c r="S206" s="179">
        <f ca="1">IF(NFI_Expiration=1,IF($A206&lt;VLOOKUP(K$5,NFI,5,0),1,0)*Table_NFI[[#This Row],[Mosquitoe net]],Table_NFI[[#This Row],[Mosquitoe net]])</f>
        <v>0</v>
      </c>
      <c r="T206" s="179">
        <f ca="1">IF(NFI_Expiration=1,IF($A206&lt;VLOOKUP(L$5,NFI,5,0),1,0)*Table_NFI[[#This Row],[Tarpaulin]],Table_NFI[[#This Row],[Tarpaulin]])</f>
        <v>0</v>
      </c>
      <c r="U206" s="179">
        <f ca="1">IF(NFI_Expiration=1,IF($A206&lt;VLOOKUP(M$5,NFI,5,0),1,0)*Table_NFI[[#This Row],[Blanket]],Table_NFI[[#This Row],[Blanket]])</f>
        <v>0</v>
      </c>
      <c r="V206" s="179">
        <f ca="1">IF(NFI_Expiration=1,IF($A206&lt;VLOOKUP(N$5,NFI,5,0),1,0)*Table_NFI[[#This Row],[Kitchen Set]],Table_NFI[[#This Row],[Kitchen Set]])</f>
        <v>0</v>
      </c>
      <c r="W206" s="179">
        <f ca="1">IF(NFI_Expiration=1,IF($A206&lt;VLOOKUP(O$5,NFI,5,0),1,0)*Table_NFI[[#This Row],[Complementary Kit]],Table_NFI[[#This Row],[Complementary Kit]])</f>
        <v>0</v>
      </c>
    </row>
    <row r="207" spans="1:23" ht="15">
      <c r="A207" s="125">
        <f ca="1" t="shared" si="4"/>
        <v>19.733333333333334</v>
      </c>
      <c r="B207" s="115">
        <v>41090</v>
      </c>
      <c r="C207" s="91" t="s">
        <v>960</v>
      </c>
      <c r="D207" s="91"/>
      <c r="E207" s="91" t="s">
        <v>434</v>
      </c>
      <c r="F207" s="1" t="s">
        <v>460</v>
      </c>
      <c r="G207" s="91" t="s">
        <v>891</v>
      </c>
      <c r="H207" s="91"/>
      <c r="I207" s="171"/>
      <c r="J207" s="171"/>
      <c r="K207" s="171"/>
      <c r="L207" s="171">
        <v>36</v>
      </c>
      <c r="M207" s="171"/>
      <c r="N207" s="171"/>
      <c r="O207" s="171"/>
      <c r="P207" s="179">
        <f ca="1">IF(NFI_Expiration=1,IF($A207&lt;VLOOKUP(H$5,NFI,5,0),1,0)*Table_NFI[[#This Row],[Hygiene Kit]],Table_NFI[[#This Row],[Hygiene Kit]])</f>
        <v>0</v>
      </c>
      <c r="Q207" s="179">
        <f ca="1">IF(NFI_Expiration=1,IF($A207&lt;VLOOKUP(I$5,NFI,5,0),1,0)*Table_NFI[[#This Row],[NFI Core Kit]],Table_NFI[[#This Row],[NFI Core Kit]])</f>
        <v>0</v>
      </c>
      <c r="R207" s="179">
        <f ca="1">IF(NFI_Expiration=1,IF($A207&lt;VLOOKUP(J$5,NFI,5,0),1,0)*Table_NFI[[#This Row],[Sanitary Kit]],Table_NFI[[#This Row],[Sanitary Kit]])</f>
        <v>0</v>
      </c>
      <c r="S207" s="179">
        <f ca="1">IF(NFI_Expiration=1,IF($A207&lt;VLOOKUP(K$5,NFI,5,0),1,0)*Table_NFI[[#This Row],[Mosquitoe net]],Table_NFI[[#This Row],[Mosquitoe net]])</f>
        <v>0</v>
      </c>
      <c r="T207" s="179">
        <f ca="1">IF(NFI_Expiration=1,IF($A207&lt;VLOOKUP(L$5,NFI,5,0),1,0)*Table_NFI[[#This Row],[Tarpaulin]],Table_NFI[[#This Row],[Tarpaulin]])</f>
        <v>0</v>
      </c>
      <c r="U207" s="179">
        <f ca="1">IF(NFI_Expiration=1,IF($A207&lt;VLOOKUP(M$5,NFI,5,0),1,0)*Table_NFI[[#This Row],[Blanket]],Table_NFI[[#This Row],[Blanket]])</f>
        <v>0</v>
      </c>
      <c r="V207" s="179">
        <f ca="1">IF(NFI_Expiration=1,IF($A207&lt;VLOOKUP(N$5,NFI,5,0),1,0)*Table_NFI[[#This Row],[Kitchen Set]],Table_NFI[[#This Row],[Kitchen Set]])</f>
        <v>0</v>
      </c>
      <c r="W207" s="179">
        <f ca="1">IF(NFI_Expiration=1,IF($A207&lt;VLOOKUP(O$5,NFI,5,0),1,0)*Table_NFI[[#This Row],[Complementary Kit]],Table_NFI[[#This Row],[Complementary Kit]])</f>
        <v>0</v>
      </c>
    </row>
    <row r="208" spans="1:23" ht="15">
      <c r="A208" s="125">
        <f ca="1" t="shared" si="4"/>
        <v>19.766666666666666</v>
      </c>
      <c r="B208" s="115">
        <v>41089</v>
      </c>
      <c r="C208" s="91" t="s">
        <v>960</v>
      </c>
      <c r="D208" s="91"/>
      <c r="E208" s="91" t="s">
        <v>434</v>
      </c>
      <c r="F208" s="1" t="s">
        <v>460</v>
      </c>
      <c r="G208" s="91" t="s">
        <v>515</v>
      </c>
      <c r="H208" s="91"/>
      <c r="I208" s="171"/>
      <c r="J208" s="171"/>
      <c r="K208" s="171"/>
      <c r="L208" s="171">
        <v>200</v>
      </c>
      <c r="M208" s="171"/>
      <c r="N208" s="171"/>
      <c r="O208" s="171"/>
      <c r="P208" s="179">
        <f ca="1">IF(NFI_Expiration=1,IF($A208&lt;VLOOKUP(H$5,NFI,5,0),1,0)*Table_NFI[[#This Row],[Hygiene Kit]],Table_NFI[[#This Row],[Hygiene Kit]])</f>
        <v>0</v>
      </c>
      <c r="Q208" s="179">
        <f ca="1">IF(NFI_Expiration=1,IF($A208&lt;VLOOKUP(I$5,NFI,5,0),1,0)*Table_NFI[[#This Row],[NFI Core Kit]],Table_NFI[[#This Row],[NFI Core Kit]])</f>
        <v>0</v>
      </c>
      <c r="R208" s="179">
        <f ca="1">IF(NFI_Expiration=1,IF($A208&lt;VLOOKUP(J$5,NFI,5,0),1,0)*Table_NFI[[#This Row],[Sanitary Kit]],Table_NFI[[#This Row],[Sanitary Kit]])</f>
        <v>0</v>
      </c>
      <c r="S208" s="179">
        <f ca="1">IF(NFI_Expiration=1,IF($A208&lt;VLOOKUP(K$5,NFI,5,0),1,0)*Table_NFI[[#This Row],[Mosquitoe net]],Table_NFI[[#This Row],[Mosquitoe net]])</f>
        <v>0</v>
      </c>
      <c r="T208" s="179">
        <f ca="1">IF(NFI_Expiration=1,IF($A208&lt;VLOOKUP(L$5,NFI,5,0),1,0)*Table_NFI[[#This Row],[Tarpaulin]],Table_NFI[[#This Row],[Tarpaulin]])</f>
        <v>0</v>
      </c>
      <c r="U208" s="179">
        <f ca="1">IF(NFI_Expiration=1,IF($A208&lt;VLOOKUP(M$5,NFI,5,0),1,0)*Table_NFI[[#This Row],[Blanket]],Table_NFI[[#This Row],[Blanket]])</f>
        <v>0</v>
      </c>
      <c r="V208" s="179">
        <f ca="1">IF(NFI_Expiration=1,IF($A208&lt;VLOOKUP(N$5,NFI,5,0),1,0)*Table_NFI[[#This Row],[Kitchen Set]],Table_NFI[[#This Row],[Kitchen Set]])</f>
        <v>0</v>
      </c>
      <c r="W208" s="179">
        <f ca="1">IF(NFI_Expiration=1,IF($A208&lt;VLOOKUP(O$5,NFI,5,0),1,0)*Table_NFI[[#This Row],[Complementary Kit]],Table_NFI[[#This Row],[Complementary Kit]])</f>
        <v>0</v>
      </c>
    </row>
    <row r="209" spans="1:23" ht="15">
      <c r="A209" s="125">
        <f ca="1" t="shared" si="4"/>
        <v>19.766666666666666</v>
      </c>
      <c r="B209" s="115">
        <v>41089</v>
      </c>
      <c r="C209" s="91" t="s">
        <v>960</v>
      </c>
      <c r="D209" s="91"/>
      <c r="E209" s="91" t="s">
        <v>434</v>
      </c>
      <c r="F209" s="1" t="s">
        <v>460</v>
      </c>
      <c r="G209" s="91" t="s">
        <v>535</v>
      </c>
      <c r="H209" s="91"/>
      <c r="I209" s="171"/>
      <c r="J209" s="171"/>
      <c r="K209" s="171"/>
      <c r="L209" s="171">
        <v>62</v>
      </c>
      <c r="M209" s="171"/>
      <c r="N209" s="171"/>
      <c r="O209" s="171"/>
      <c r="P209" s="179">
        <f ca="1">IF(NFI_Expiration=1,IF($A209&lt;VLOOKUP(H$5,NFI,5,0),1,0)*Table_NFI[[#This Row],[Hygiene Kit]],Table_NFI[[#This Row],[Hygiene Kit]])</f>
        <v>0</v>
      </c>
      <c r="Q209" s="179">
        <f ca="1">IF(NFI_Expiration=1,IF($A209&lt;VLOOKUP(I$5,NFI,5,0),1,0)*Table_NFI[[#This Row],[NFI Core Kit]],Table_NFI[[#This Row],[NFI Core Kit]])</f>
        <v>0</v>
      </c>
      <c r="R209" s="179">
        <f ca="1">IF(NFI_Expiration=1,IF($A209&lt;VLOOKUP(J$5,NFI,5,0),1,0)*Table_NFI[[#This Row],[Sanitary Kit]],Table_NFI[[#This Row],[Sanitary Kit]])</f>
        <v>0</v>
      </c>
      <c r="S209" s="179">
        <f ca="1">IF(NFI_Expiration=1,IF($A209&lt;VLOOKUP(K$5,NFI,5,0),1,0)*Table_NFI[[#This Row],[Mosquitoe net]],Table_NFI[[#This Row],[Mosquitoe net]])</f>
        <v>0</v>
      </c>
      <c r="T209" s="179">
        <f ca="1">IF(NFI_Expiration=1,IF($A209&lt;VLOOKUP(L$5,NFI,5,0),1,0)*Table_NFI[[#This Row],[Tarpaulin]],Table_NFI[[#This Row],[Tarpaulin]])</f>
        <v>0</v>
      </c>
      <c r="U209" s="179">
        <f ca="1">IF(NFI_Expiration=1,IF($A209&lt;VLOOKUP(M$5,NFI,5,0),1,0)*Table_NFI[[#This Row],[Blanket]],Table_NFI[[#This Row],[Blanket]])</f>
        <v>0</v>
      </c>
      <c r="V209" s="179">
        <f ca="1">IF(NFI_Expiration=1,IF($A209&lt;VLOOKUP(N$5,NFI,5,0),1,0)*Table_NFI[[#This Row],[Kitchen Set]],Table_NFI[[#This Row],[Kitchen Set]])</f>
        <v>0</v>
      </c>
      <c r="W209" s="179">
        <f ca="1">IF(NFI_Expiration=1,IF($A209&lt;VLOOKUP(O$5,NFI,5,0),1,0)*Table_NFI[[#This Row],[Complementary Kit]],Table_NFI[[#This Row],[Complementary Kit]])</f>
        <v>0</v>
      </c>
    </row>
    <row r="210" spans="1:23" ht="15">
      <c r="A210" s="125">
        <f ca="1" t="shared" si="4"/>
        <v>19.766666666666666</v>
      </c>
      <c r="B210" s="115">
        <v>41089</v>
      </c>
      <c r="C210" s="91" t="s">
        <v>960</v>
      </c>
      <c r="D210" s="91"/>
      <c r="E210" s="91" t="s">
        <v>434</v>
      </c>
      <c r="F210" s="1" t="s">
        <v>460</v>
      </c>
      <c r="G210" s="91" t="s">
        <v>530</v>
      </c>
      <c r="H210" s="91"/>
      <c r="I210" s="171"/>
      <c r="J210" s="171"/>
      <c r="K210" s="171"/>
      <c r="L210" s="171">
        <v>66</v>
      </c>
      <c r="M210" s="171"/>
      <c r="N210" s="171"/>
      <c r="O210" s="171"/>
      <c r="P210" s="179">
        <f ca="1">IF(NFI_Expiration=1,IF($A210&lt;VLOOKUP(H$5,NFI,5,0),1,0)*Table_NFI[[#This Row],[Hygiene Kit]],Table_NFI[[#This Row],[Hygiene Kit]])</f>
        <v>0</v>
      </c>
      <c r="Q210" s="179">
        <f ca="1">IF(NFI_Expiration=1,IF($A210&lt;VLOOKUP(I$5,NFI,5,0),1,0)*Table_NFI[[#This Row],[NFI Core Kit]],Table_NFI[[#This Row],[NFI Core Kit]])</f>
        <v>0</v>
      </c>
      <c r="R210" s="179">
        <f ca="1">IF(NFI_Expiration=1,IF($A210&lt;VLOOKUP(J$5,NFI,5,0),1,0)*Table_NFI[[#This Row],[Sanitary Kit]],Table_NFI[[#This Row],[Sanitary Kit]])</f>
        <v>0</v>
      </c>
      <c r="S210" s="179">
        <f ca="1">IF(NFI_Expiration=1,IF($A210&lt;VLOOKUP(K$5,NFI,5,0),1,0)*Table_NFI[[#This Row],[Mosquitoe net]],Table_NFI[[#This Row],[Mosquitoe net]])</f>
        <v>0</v>
      </c>
      <c r="T210" s="179">
        <f ca="1">IF(NFI_Expiration=1,IF($A210&lt;VLOOKUP(L$5,NFI,5,0),1,0)*Table_NFI[[#This Row],[Tarpaulin]],Table_NFI[[#This Row],[Tarpaulin]])</f>
        <v>0</v>
      </c>
      <c r="U210" s="179">
        <f ca="1">IF(NFI_Expiration=1,IF($A210&lt;VLOOKUP(M$5,NFI,5,0),1,0)*Table_NFI[[#This Row],[Blanket]],Table_NFI[[#This Row],[Blanket]])</f>
        <v>0</v>
      </c>
      <c r="V210" s="179">
        <f ca="1">IF(NFI_Expiration=1,IF($A210&lt;VLOOKUP(N$5,NFI,5,0),1,0)*Table_NFI[[#This Row],[Kitchen Set]],Table_NFI[[#This Row],[Kitchen Set]])</f>
        <v>0</v>
      </c>
      <c r="W210" s="179">
        <f ca="1">IF(NFI_Expiration=1,IF($A210&lt;VLOOKUP(O$5,NFI,5,0),1,0)*Table_NFI[[#This Row],[Complementary Kit]],Table_NFI[[#This Row],[Complementary Kit]])</f>
        <v>0</v>
      </c>
    </row>
    <row r="211" spans="1:23" ht="15">
      <c r="A211" s="125">
        <f ca="1" t="shared" si="4"/>
        <v>19.766666666666666</v>
      </c>
      <c r="B211" s="115">
        <v>41089</v>
      </c>
      <c r="C211" s="91" t="s">
        <v>960</v>
      </c>
      <c r="D211" s="91"/>
      <c r="E211" s="91" t="s">
        <v>434</v>
      </c>
      <c r="F211" s="1" t="s">
        <v>460</v>
      </c>
      <c r="G211" s="91" t="s">
        <v>526</v>
      </c>
      <c r="H211" s="91"/>
      <c r="I211" s="171"/>
      <c r="J211" s="171"/>
      <c r="K211" s="171"/>
      <c r="L211" s="171">
        <v>66</v>
      </c>
      <c r="M211" s="171"/>
      <c r="N211" s="171"/>
      <c r="O211" s="171"/>
      <c r="P211" s="179">
        <f ca="1">IF(NFI_Expiration=1,IF($A211&lt;VLOOKUP(H$5,NFI,5,0),1,0)*Table_NFI[[#This Row],[Hygiene Kit]],Table_NFI[[#This Row],[Hygiene Kit]])</f>
        <v>0</v>
      </c>
      <c r="Q211" s="179">
        <f ca="1">IF(NFI_Expiration=1,IF($A211&lt;VLOOKUP(I$5,NFI,5,0),1,0)*Table_NFI[[#This Row],[NFI Core Kit]],Table_NFI[[#This Row],[NFI Core Kit]])</f>
        <v>0</v>
      </c>
      <c r="R211" s="179">
        <f ca="1">IF(NFI_Expiration=1,IF($A211&lt;VLOOKUP(J$5,NFI,5,0),1,0)*Table_NFI[[#This Row],[Sanitary Kit]],Table_NFI[[#This Row],[Sanitary Kit]])</f>
        <v>0</v>
      </c>
      <c r="S211" s="179">
        <f ca="1">IF(NFI_Expiration=1,IF($A211&lt;VLOOKUP(K$5,NFI,5,0),1,0)*Table_NFI[[#This Row],[Mosquitoe net]],Table_NFI[[#This Row],[Mosquitoe net]])</f>
        <v>0</v>
      </c>
      <c r="T211" s="179">
        <f ca="1">IF(NFI_Expiration=1,IF($A211&lt;VLOOKUP(L$5,NFI,5,0),1,0)*Table_NFI[[#This Row],[Tarpaulin]],Table_NFI[[#This Row],[Tarpaulin]])</f>
        <v>0</v>
      </c>
      <c r="U211" s="179">
        <f ca="1">IF(NFI_Expiration=1,IF($A211&lt;VLOOKUP(M$5,NFI,5,0),1,0)*Table_NFI[[#This Row],[Blanket]],Table_NFI[[#This Row],[Blanket]])</f>
        <v>0</v>
      </c>
      <c r="V211" s="179">
        <f ca="1">IF(NFI_Expiration=1,IF($A211&lt;VLOOKUP(N$5,NFI,5,0),1,0)*Table_NFI[[#This Row],[Kitchen Set]],Table_NFI[[#This Row],[Kitchen Set]])</f>
        <v>0</v>
      </c>
      <c r="W211" s="179">
        <f ca="1">IF(NFI_Expiration=1,IF($A211&lt;VLOOKUP(O$5,NFI,5,0),1,0)*Table_NFI[[#This Row],[Complementary Kit]],Table_NFI[[#This Row],[Complementary Kit]])</f>
        <v>0</v>
      </c>
    </row>
    <row r="212" spans="1:23" ht="15">
      <c r="A212" s="125">
        <f ca="1" t="shared" si="4"/>
        <v>19.766666666666666</v>
      </c>
      <c r="B212" s="115">
        <v>41089</v>
      </c>
      <c r="C212" s="91" t="s">
        <v>960</v>
      </c>
      <c r="D212" s="91"/>
      <c r="E212" s="91" t="s">
        <v>434</v>
      </c>
      <c r="F212" s="1" t="s">
        <v>460</v>
      </c>
      <c r="G212" s="91" t="s">
        <v>887</v>
      </c>
      <c r="H212" s="91"/>
      <c r="I212" s="171"/>
      <c r="J212" s="171"/>
      <c r="K212" s="171"/>
      <c r="L212" s="171">
        <v>37</v>
      </c>
      <c r="M212" s="171"/>
      <c r="N212" s="171"/>
      <c r="O212" s="171"/>
      <c r="P212" s="179">
        <f ca="1">IF(NFI_Expiration=1,IF($A212&lt;VLOOKUP(H$5,NFI,5,0),1,0)*Table_NFI[[#This Row],[Hygiene Kit]],Table_NFI[[#This Row],[Hygiene Kit]])</f>
        <v>0</v>
      </c>
      <c r="Q212" s="179">
        <f ca="1">IF(NFI_Expiration=1,IF($A212&lt;VLOOKUP(I$5,NFI,5,0),1,0)*Table_NFI[[#This Row],[NFI Core Kit]],Table_NFI[[#This Row],[NFI Core Kit]])</f>
        <v>0</v>
      </c>
      <c r="R212" s="179">
        <f ca="1">IF(NFI_Expiration=1,IF($A212&lt;VLOOKUP(J$5,NFI,5,0),1,0)*Table_NFI[[#This Row],[Sanitary Kit]],Table_NFI[[#This Row],[Sanitary Kit]])</f>
        <v>0</v>
      </c>
      <c r="S212" s="179">
        <f ca="1">IF(NFI_Expiration=1,IF($A212&lt;VLOOKUP(K$5,NFI,5,0),1,0)*Table_NFI[[#This Row],[Mosquitoe net]],Table_NFI[[#This Row],[Mosquitoe net]])</f>
        <v>0</v>
      </c>
      <c r="T212" s="179">
        <f ca="1">IF(NFI_Expiration=1,IF($A212&lt;VLOOKUP(L$5,NFI,5,0),1,0)*Table_NFI[[#This Row],[Tarpaulin]],Table_NFI[[#This Row],[Tarpaulin]])</f>
        <v>0</v>
      </c>
      <c r="U212" s="179">
        <f ca="1">IF(NFI_Expiration=1,IF($A212&lt;VLOOKUP(M$5,NFI,5,0),1,0)*Table_NFI[[#This Row],[Blanket]],Table_NFI[[#This Row],[Blanket]])</f>
        <v>0</v>
      </c>
      <c r="V212" s="179">
        <f ca="1">IF(NFI_Expiration=1,IF($A212&lt;VLOOKUP(N$5,NFI,5,0),1,0)*Table_NFI[[#This Row],[Kitchen Set]],Table_NFI[[#This Row],[Kitchen Set]])</f>
        <v>0</v>
      </c>
      <c r="W212" s="179">
        <f ca="1">IF(NFI_Expiration=1,IF($A212&lt;VLOOKUP(O$5,NFI,5,0),1,0)*Table_NFI[[#This Row],[Complementary Kit]],Table_NFI[[#This Row],[Complementary Kit]])</f>
        <v>0</v>
      </c>
    </row>
    <row r="213" spans="1:23" ht="15">
      <c r="A213" s="125">
        <f ca="1" t="shared" si="4"/>
        <v>19.8</v>
      </c>
      <c r="B213" s="115">
        <v>41088</v>
      </c>
      <c r="C213" s="91" t="s">
        <v>960</v>
      </c>
      <c r="D213" s="91"/>
      <c r="E213" s="91" t="s">
        <v>434</v>
      </c>
      <c r="F213" s="1" t="s">
        <v>460</v>
      </c>
      <c r="G213" s="45" t="s">
        <v>965</v>
      </c>
      <c r="H213" s="91"/>
      <c r="I213" s="171"/>
      <c r="J213" s="171"/>
      <c r="K213" s="171"/>
      <c r="L213" s="171">
        <v>52</v>
      </c>
      <c r="M213" s="171"/>
      <c r="N213" s="171"/>
      <c r="O213" s="171"/>
      <c r="P213" s="179">
        <f ca="1">IF(NFI_Expiration=1,IF($A213&lt;VLOOKUP(H$5,NFI,5,0),1,0)*Table_NFI[[#This Row],[Hygiene Kit]],Table_NFI[[#This Row],[Hygiene Kit]])</f>
        <v>0</v>
      </c>
      <c r="Q213" s="179">
        <f ca="1">IF(NFI_Expiration=1,IF($A213&lt;VLOOKUP(I$5,NFI,5,0),1,0)*Table_NFI[[#This Row],[NFI Core Kit]],Table_NFI[[#This Row],[NFI Core Kit]])</f>
        <v>0</v>
      </c>
      <c r="R213" s="179">
        <f ca="1">IF(NFI_Expiration=1,IF($A213&lt;VLOOKUP(J$5,NFI,5,0),1,0)*Table_NFI[[#This Row],[Sanitary Kit]],Table_NFI[[#This Row],[Sanitary Kit]])</f>
        <v>0</v>
      </c>
      <c r="S213" s="179">
        <f ca="1">IF(NFI_Expiration=1,IF($A213&lt;VLOOKUP(K$5,NFI,5,0),1,0)*Table_NFI[[#This Row],[Mosquitoe net]],Table_NFI[[#This Row],[Mosquitoe net]])</f>
        <v>0</v>
      </c>
      <c r="T213" s="179">
        <f ca="1">IF(NFI_Expiration=1,IF($A213&lt;VLOOKUP(L$5,NFI,5,0),1,0)*Table_NFI[[#This Row],[Tarpaulin]],Table_NFI[[#This Row],[Tarpaulin]])</f>
        <v>0</v>
      </c>
      <c r="U213" s="179">
        <f ca="1">IF(NFI_Expiration=1,IF($A213&lt;VLOOKUP(M$5,NFI,5,0),1,0)*Table_NFI[[#This Row],[Blanket]],Table_NFI[[#This Row],[Blanket]])</f>
        <v>0</v>
      </c>
      <c r="V213" s="179">
        <f ca="1">IF(NFI_Expiration=1,IF($A213&lt;VLOOKUP(N$5,NFI,5,0),1,0)*Table_NFI[[#This Row],[Kitchen Set]],Table_NFI[[#This Row],[Kitchen Set]])</f>
        <v>0</v>
      </c>
      <c r="W213" s="179">
        <f ca="1">IF(NFI_Expiration=1,IF($A213&lt;VLOOKUP(O$5,NFI,5,0),1,0)*Table_NFI[[#This Row],[Complementary Kit]],Table_NFI[[#This Row],[Complementary Kit]])</f>
        <v>0</v>
      </c>
    </row>
    <row r="214" spans="1:23" ht="15">
      <c r="A214" s="125">
        <f ca="1" t="shared" si="4"/>
        <v>19.8</v>
      </c>
      <c r="B214" s="115">
        <v>41088</v>
      </c>
      <c r="C214" s="91" t="s">
        <v>960</v>
      </c>
      <c r="D214" s="91"/>
      <c r="E214" s="91" t="s">
        <v>434</v>
      </c>
      <c r="F214" s="1" t="s">
        <v>460</v>
      </c>
      <c r="G214" s="91" t="s">
        <v>883</v>
      </c>
      <c r="H214" s="91"/>
      <c r="I214" s="171"/>
      <c r="J214" s="171"/>
      <c r="K214" s="171"/>
      <c r="L214" s="171">
        <v>89</v>
      </c>
      <c r="M214" s="171"/>
      <c r="N214" s="171"/>
      <c r="O214" s="171"/>
      <c r="P214" s="179">
        <f ca="1">IF(NFI_Expiration=1,IF($A214&lt;VLOOKUP(H$5,NFI,5,0),1,0)*Table_NFI[[#This Row],[Hygiene Kit]],Table_NFI[[#This Row],[Hygiene Kit]])</f>
        <v>0</v>
      </c>
      <c r="Q214" s="179">
        <f ca="1">IF(NFI_Expiration=1,IF($A214&lt;VLOOKUP(I$5,NFI,5,0),1,0)*Table_NFI[[#This Row],[NFI Core Kit]],Table_NFI[[#This Row],[NFI Core Kit]])</f>
        <v>0</v>
      </c>
      <c r="R214" s="179">
        <f ca="1">IF(NFI_Expiration=1,IF($A214&lt;VLOOKUP(J$5,NFI,5,0),1,0)*Table_NFI[[#This Row],[Sanitary Kit]],Table_NFI[[#This Row],[Sanitary Kit]])</f>
        <v>0</v>
      </c>
      <c r="S214" s="179">
        <f ca="1">IF(NFI_Expiration=1,IF($A214&lt;VLOOKUP(K$5,NFI,5,0),1,0)*Table_NFI[[#This Row],[Mosquitoe net]],Table_NFI[[#This Row],[Mosquitoe net]])</f>
        <v>0</v>
      </c>
      <c r="T214" s="179">
        <f ca="1">IF(NFI_Expiration=1,IF($A214&lt;VLOOKUP(L$5,NFI,5,0),1,0)*Table_NFI[[#This Row],[Tarpaulin]],Table_NFI[[#This Row],[Tarpaulin]])</f>
        <v>0</v>
      </c>
      <c r="U214" s="179">
        <f ca="1">IF(NFI_Expiration=1,IF($A214&lt;VLOOKUP(M$5,NFI,5,0),1,0)*Table_NFI[[#This Row],[Blanket]],Table_NFI[[#This Row],[Blanket]])</f>
        <v>0</v>
      </c>
      <c r="V214" s="179">
        <f ca="1">IF(NFI_Expiration=1,IF($A214&lt;VLOOKUP(N$5,NFI,5,0),1,0)*Table_NFI[[#This Row],[Kitchen Set]],Table_NFI[[#This Row],[Kitchen Set]])</f>
        <v>0</v>
      </c>
      <c r="W214" s="179">
        <f ca="1">IF(NFI_Expiration=1,IF($A214&lt;VLOOKUP(O$5,NFI,5,0),1,0)*Table_NFI[[#This Row],[Complementary Kit]],Table_NFI[[#This Row],[Complementary Kit]])</f>
        <v>0</v>
      </c>
    </row>
    <row r="215" spans="1:23" ht="15">
      <c r="A215" s="125">
        <f ca="1" t="shared" si="4"/>
        <v>19.8</v>
      </c>
      <c r="B215" s="115">
        <v>41088</v>
      </c>
      <c r="C215" s="91" t="s">
        <v>960</v>
      </c>
      <c r="D215" s="91"/>
      <c r="E215" s="91" t="s">
        <v>434</v>
      </c>
      <c r="F215" s="1" t="s">
        <v>460</v>
      </c>
      <c r="G215" s="91" t="s">
        <v>884</v>
      </c>
      <c r="H215" s="91"/>
      <c r="I215" s="171"/>
      <c r="J215" s="171"/>
      <c r="K215" s="171"/>
      <c r="L215" s="171">
        <v>11</v>
      </c>
      <c r="M215" s="171"/>
      <c r="N215" s="171"/>
      <c r="O215" s="171"/>
      <c r="P215" s="179">
        <f ca="1">IF(NFI_Expiration=1,IF($A215&lt;VLOOKUP(H$5,NFI,5,0),1,0)*Table_NFI[[#This Row],[Hygiene Kit]],Table_NFI[[#This Row],[Hygiene Kit]])</f>
        <v>0</v>
      </c>
      <c r="Q215" s="179">
        <f ca="1">IF(NFI_Expiration=1,IF($A215&lt;VLOOKUP(I$5,NFI,5,0),1,0)*Table_NFI[[#This Row],[NFI Core Kit]],Table_NFI[[#This Row],[NFI Core Kit]])</f>
        <v>0</v>
      </c>
      <c r="R215" s="179">
        <f ca="1">IF(NFI_Expiration=1,IF($A215&lt;VLOOKUP(J$5,NFI,5,0),1,0)*Table_NFI[[#This Row],[Sanitary Kit]],Table_NFI[[#This Row],[Sanitary Kit]])</f>
        <v>0</v>
      </c>
      <c r="S215" s="179">
        <f ca="1">IF(NFI_Expiration=1,IF($A215&lt;VLOOKUP(K$5,NFI,5,0),1,0)*Table_NFI[[#This Row],[Mosquitoe net]],Table_NFI[[#This Row],[Mosquitoe net]])</f>
        <v>0</v>
      </c>
      <c r="T215" s="179">
        <f ca="1">IF(NFI_Expiration=1,IF($A215&lt;VLOOKUP(L$5,NFI,5,0),1,0)*Table_NFI[[#This Row],[Tarpaulin]],Table_NFI[[#This Row],[Tarpaulin]])</f>
        <v>0</v>
      </c>
      <c r="U215" s="179">
        <f ca="1">IF(NFI_Expiration=1,IF($A215&lt;VLOOKUP(M$5,NFI,5,0),1,0)*Table_NFI[[#This Row],[Blanket]],Table_NFI[[#This Row],[Blanket]])</f>
        <v>0</v>
      </c>
      <c r="V215" s="179">
        <f ca="1">IF(NFI_Expiration=1,IF($A215&lt;VLOOKUP(N$5,NFI,5,0),1,0)*Table_NFI[[#This Row],[Kitchen Set]],Table_NFI[[#This Row],[Kitchen Set]])</f>
        <v>0</v>
      </c>
      <c r="W215" s="179">
        <f ca="1">IF(NFI_Expiration=1,IF($A215&lt;VLOOKUP(O$5,NFI,5,0),1,0)*Table_NFI[[#This Row],[Complementary Kit]],Table_NFI[[#This Row],[Complementary Kit]])</f>
        <v>0</v>
      </c>
    </row>
    <row r="216" spans="1:23" ht="15">
      <c r="A216" s="125">
        <f ca="1" t="shared" si="4"/>
        <v>19.8</v>
      </c>
      <c r="B216" s="115">
        <v>41088</v>
      </c>
      <c r="C216" s="91" t="s">
        <v>960</v>
      </c>
      <c r="D216" s="91"/>
      <c r="E216" s="91" t="s">
        <v>434</v>
      </c>
      <c r="F216" s="1" t="s">
        <v>460</v>
      </c>
      <c r="G216" s="91" t="s">
        <v>885</v>
      </c>
      <c r="H216" s="91"/>
      <c r="I216" s="171"/>
      <c r="J216" s="171"/>
      <c r="K216" s="171"/>
      <c r="L216" s="171">
        <v>9</v>
      </c>
      <c r="M216" s="171"/>
      <c r="N216" s="171"/>
      <c r="O216" s="171"/>
      <c r="P216" s="179">
        <f ca="1">IF(NFI_Expiration=1,IF($A216&lt;VLOOKUP(H$5,NFI,5,0),1,0)*Table_NFI[[#This Row],[Hygiene Kit]],Table_NFI[[#This Row],[Hygiene Kit]])</f>
        <v>0</v>
      </c>
      <c r="Q216" s="179">
        <f ca="1">IF(NFI_Expiration=1,IF($A216&lt;VLOOKUP(I$5,NFI,5,0),1,0)*Table_NFI[[#This Row],[NFI Core Kit]],Table_NFI[[#This Row],[NFI Core Kit]])</f>
        <v>0</v>
      </c>
      <c r="R216" s="179">
        <f ca="1">IF(NFI_Expiration=1,IF($A216&lt;VLOOKUP(J$5,NFI,5,0),1,0)*Table_NFI[[#This Row],[Sanitary Kit]],Table_NFI[[#This Row],[Sanitary Kit]])</f>
        <v>0</v>
      </c>
      <c r="S216" s="179">
        <f ca="1">IF(NFI_Expiration=1,IF($A216&lt;VLOOKUP(K$5,NFI,5,0),1,0)*Table_NFI[[#This Row],[Mosquitoe net]],Table_NFI[[#This Row],[Mosquitoe net]])</f>
        <v>0</v>
      </c>
      <c r="T216" s="179">
        <f ca="1">IF(NFI_Expiration=1,IF($A216&lt;VLOOKUP(L$5,NFI,5,0),1,0)*Table_NFI[[#This Row],[Tarpaulin]],Table_NFI[[#This Row],[Tarpaulin]])</f>
        <v>0</v>
      </c>
      <c r="U216" s="179">
        <f ca="1">IF(NFI_Expiration=1,IF($A216&lt;VLOOKUP(M$5,NFI,5,0),1,0)*Table_NFI[[#This Row],[Blanket]],Table_NFI[[#This Row],[Blanket]])</f>
        <v>0</v>
      </c>
      <c r="V216" s="179">
        <f ca="1">IF(NFI_Expiration=1,IF($A216&lt;VLOOKUP(N$5,NFI,5,0),1,0)*Table_NFI[[#This Row],[Kitchen Set]],Table_NFI[[#This Row],[Kitchen Set]])</f>
        <v>0</v>
      </c>
      <c r="W216" s="179">
        <f ca="1">IF(NFI_Expiration=1,IF($A216&lt;VLOOKUP(O$5,NFI,5,0),1,0)*Table_NFI[[#This Row],[Complementary Kit]],Table_NFI[[#This Row],[Complementary Kit]])</f>
        <v>0</v>
      </c>
    </row>
    <row r="217" spans="1:23" ht="15">
      <c r="A217" s="125">
        <f ca="1" t="shared" si="4"/>
        <v>19.8</v>
      </c>
      <c r="B217" s="115">
        <v>41088</v>
      </c>
      <c r="C217" s="91" t="s">
        <v>960</v>
      </c>
      <c r="D217" s="91"/>
      <c r="E217" s="91" t="s">
        <v>434</v>
      </c>
      <c r="F217" s="1" t="s">
        <v>460</v>
      </c>
      <c r="G217" s="91" t="s">
        <v>508</v>
      </c>
      <c r="H217" s="91"/>
      <c r="I217" s="171"/>
      <c r="J217" s="171"/>
      <c r="K217" s="171"/>
      <c r="L217" s="171">
        <v>300</v>
      </c>
      <c r="M217" s="171"/>
      <c r="N217" s="171"/>
      <c r="O217" s="171"/>
      <c r="P217" s="179">
        <f ca="1">IF(NFI_Expiration=1,IF($A217&lt;VLOOKUP(H$5,NFI,5,0),1,0)*Table_NFI[[#This Row],[Hygiene Kit]],Table_NFI[[#This Row],[Hygiene Kit]])</f>
        <v>0</v>
      </c>
      <c r="Q217" s="179">
        <f ca="1">IF(NFI_Expiration=1,IF($A217&lt;VLOOKUP(I$5,NFI,5,0),1,0)*Table_NFI[[#This Row],[NFI Core Kit]],Table_NFI[[#This Row],[NFI Core Kit]])</f>
        <v>0</v>
      </c>
      <c r="R217" s="179">
        <f ca="1">IF(NFI_Expiration=1,IF($A217&lt;VLOOKUP(J$5,NFI,5,0),1,0)*Table_NFI[[#This Row],[Sanitary Kit]],Table_NFI[[#This Row],[Sanitary Kit]])</f>
        <v>0</v>
      </c>
      <c r="S217" s="179">
        <f ca="1">IF(NFI_Expiration=1,IF($A217&lt;VLOOKUP(K$5,NFI,5,0),1,0)*Table_NFI[[#This Row],[Mosquitoe net]],Table_NFI[[#This Row],[Mosquitoe net]])</f>
        <v>0</v>
      </c>
      <c r="T217" s="179">
        <f ca="1">IF(NFI_Expiration=1,IF($A217&lt;VLOOKUP(L$5,NFI,5,0),1,0)*Table_NFI[[#This Row],[Tarpaulin]],Table_NFI[[#This Row],[Tarpaulin]])</f>
        <v>0</v>
      </c>
      <c r="U217" s="179">
        <f ca="1">IF(NFI_Expiration=1,IF($A217&lt;VLOOKUP(M$5,NFI,5,0),1,0)*Table_NFI[[#This Row],[Blanket]],Table_NFI[[#This Row],[Blanket]])</f>
        <v>0</v>
      </c>
      <c r="V217" s="179">
        <f ca="1">IF(NFI_Expiration=1,IF($A217&lt;VLOOKUP(N$5,NFI,5,0),1,0)*Table_NFI[[#This Row],[Kitchen Set]],Table_NFI[[#This Row],[Kitchen Set]])</f>
        <v>0</v>
      </c>
      <c r="W217" s="179">
        <f ca="1">IF(NFI_Expiration=1,IF($A217&lt;VLOOKUP(O$5,NFI,5,0),1,0)*Table_NFI[[#This Row],[Complementary Kit]],Table_NFI[[#This Row],[Complementary Kit]])</f>
        <v>0</v>
      </c>
    </row>
    <row r="218" spans="1:23" ht="15">
      <c r="A218" s="125">
        <f ca="1" t="shared" si="4"/>
        <v>19.833333333333332</v>
      </c>
      <c r="B218" s="115">
        <v>41087</v>
      </c>
      <c r="C218" s="91" t="s">
        <v>960</v>
      </c>
      <c r="D218" s="91"/>
      <c r="E218" s="91" t="s">
        <v>434</v>
      </c>
      <c r="F218" s="1" t="s">
        <v>460</v>
      </c>
      <c r="G218" s="91" t="s">
        <v>880</v>
      </c>
      <c r="H218" s="91"/>
      <c r="I218" s="171"/>
      <c r="J218" s="171"/>
      <c r="K218" s="171"/>
      <c r="L218" s="171">
        <v>11</v>
      </c>
      <c r="M218" s="171"/>
      <c r="N218" s="171"/>
      <c r="O218" s="171"/>
      <c r="P218" s="179">
        <f ca="1">IF(NFI_Expiration=1,IF($A218&lt;VLOOKUP(H$5,NFI,5,0),1,0)*Table_NFI[[#This Row],[Hygiene Kit]],Table_NFI[[#This Row],[Hygiene Kit]])</f>
        <v>0</v>
      </c>
      <c r="Q218" s="179">
        <f ca="1">IF(NFI_Expiration=1,IF($A218&lt;VLOOKUP(I$5,NFI,5,0),1,0)*Table_NFI[[#This Row],[NFI Core Kit]],Table_NFI[[#This Row],[NFI Core Kit]])</f>
        <v>0</v>
      </c>
      <c r="R218" s="179">
        <f ca="1">IF(NFI_Expiration=1,IF($A218&lt;VLOOKUP(J$5,NFI,5,0),1,0)*Table_NFI[[#This Row],[Sanitary Kit]],Table_NFI[[#This Row],[Sanitary Kit]])</f>
        <v>0</v>
      </c>
      <c r="S218" s="179">
        <f ca="1">IF(NFI_Expiration=1,IF($A218&lt;VLOOKUP(K$5,NFI,5,0),1,0)*Table_NFI[[#This Row],[Mosquitoe net]],Table_NFI[[#This Row],[Mosquitoe net]])</f>
        <v>0</v>
      </c>
      <c r="T218" s="179">
        <f ca="1">IF(NFI_Expiration=1,IF($A218&lt;VLOOKUP(L$5,NFI,5,0),1,0)*Table_NFI[[#This Row],[Tarpaulin]],Table_NFI[[#This Row],[Tarpaulin]])</f>
        <v>0</v>
      </c>
      <c r="U218" s="179">
        <f ca="1">IF(NFI_Expiration=1,IF($A218&lt;VLOOKUP(M$5,NFI,5,0),1,0)*Table_NFI[[#This Row],[Blanket]],Table_NFI[[#This Row],[Blanket]])</f>
        <v>0</v>
      </c>
      <c r="V218" s="179">
        <f ca="1">IF(NFI_Expiration=1,IF($A218&lt;VLOOKUP(N$5,NFI,5,0),1,0)*Table_NFI[[#This Row],[Kitchen Set]],Table_NFI[[#This Row],[Kitchen Set]])</f>
        <v>0</v>
      </c>
      <c r="W218" s="179">
        <f ca="1">IF(NFI_Expiration=1,IF($A218&lt;VLOOKUP(O$5,NFI,5,0),1,0)*Table_NFI[[#This Row],[Complementary Kit]],Table_NFI[[#This Row],[Complementary Kit]])</f>
        <v>0</v>
      </c>
    </row>
    <row r="219" spans="1:23" ht="15">
      <c r="A219" s="125">
        <f ca="1" t="shared" si="4"/>
        <v>19.833333333333332</v>
      </c>
      <c r="B219" s="115">
        <v>41087</v>
      </c>
      <c r="C219" s="91" t="s">
        <v>960</v>
      </c>
      <c r="D219" s="91"/>
      <c r="E219" s="91" t="s">
        <v>434</v>
      </c>
      <c r="F219" s="1" t="s">
        <v>460</v>
      </c>
      <c r="G219" s="91" t="s">
        <v>881</v>
      </c>
      <c r="H219" s="91"/>
      <c r="I219" s="171"/>
      <c r="J219" s="171"/>
      <c r="K219" s="171"/>
      <c r="L219" s="171">
        <v>200</v>
      </c>
      <c r="M219" s="171"/>
      <c r="N219" s="171"/>
      <c r="O219" s="171"/>
      <c r="P219" s="179">
        <f ca="1">IF(NFI_Expiration=1,IF($A219&lt;VLOOKUP(H$5,NFI,5,0),1,0)*Table_NFI[[#This Row],[Hygiene Kit]],Table_NFI[[#This Row],[Hygiene Kit]])</f>
        <v>0</v>
      </c>
      <c r="Q219" s="179">
        <f ca="1">IF(NFI_Expiration=1,IF($A219&lt;VLOOKUP(I$5,NFI,5,0),1,0)*Table_NFI[[#This Row],[NFI Core Kit]],Table_NFI[[#This Row],[NFI Core Kit]])</f>
        <v>0</v>
      </c>
      <c r="R219" s="179">
        <f ca="1">IF(NFI_Expiration=1,IF($A219&lt;VLOOKUP(J$5,NFI,5,0),1,0)*Table_NFI[[#This Row],[Sanitary Kit]],Table_NFI[[#This Row],[Sanitary Kit]])</f>
        <v>0</v>
      </c>
      <c r="S219" s="179">
        <f ca="1">IF(NFI_Expiration=1,IF($A219&lt;VLOOKUP(K$5,NFI,5,0),1,0)*Table_NFI[[#This Row],[Mosquitoe net]],Table_NFI[[#This Row],[Mosquitoe net]])</f>
        <v>0</v>
      </c>
      <c r="T219" s="179">
        <f ca="1">IF(NFI_Expiration=1,IF($A219&lt;VLOOKUP(L$5,NFI,5,0),1,0)*Table_NFI[[#This Row],[Tarpaulin]],Table_NFI[[#This Row],[Tarpaulin]])</f>
        <v>0</v>
      </c>
      <c r="U219" s="179">
        <f ca="1">IF(NFI_Expiration=1,IF($A219&lt;VLOOKUP(M$5,NFI,5,0),1,0)*Table_NFI[[#This Row],[Blanket]],Table_NFI[[#This Row],[Blanket]])</f>
        <v>0</v>
      </c>
      <c r="V219" s="179">
        <f ca="1">IF(NFI_Expiration=1,IF($A219&lt;VLOOKUP(N$5,NFI,5,0),1,0)*Table_NFI[[#This Row],[Kitchen Set]],Table_NFI[[#This Row],[Kitchen Set]])</f>
        <v>0</v>
      </c>
      <c r="W219" s="179">
        <f ca="1">IF(NFI_Expiration=1,IF($A219&lt;VLOOKUP(O$5,NFI,5,0),1,0)*Table_NFI[[#This Row],[Complementary Kit]],Table_NFI[[#This Row],[Complementary Kit]])</f>
        <v>0</v>
      </c>
    </row>
    <row r="220" spans="1:23" ht="15">
      <c r="A220" s="125">
        <f ca="1" t="shared" si="4"/>
        <v>19.833333333333332</v>
      </c>
      <c r="B220" s="115">
        <v>41087</v>
      </c>
      <c r="C220" s="91" t="s">
        <v>960</v>
      </c>
      <c r="D220" s="91"/>
      <c r="E220" s="91" t="s">
        <v>434</v>
      </c>
      <c r="F220" s="1" t="s">
        <v>460</v>
      </c>
      <c r="G220" s="91" t="s">
        <v>882</v>
      </c>
      <c r="H220" s="91"/>
      <c r="I220" s="171"/>
      <c r="J220" s="171"/>
      <c r="K220" s="171"/>
      <c r="L220" s="171">
        <v>72</v>
      </c>
      <c r="M220" s="171"/>
      <c r="N220" s="171"/>
      <c r="O220" s="171"/>
      <c r="P220" s="179">
        <f ca="1">IF(NFI_Expiration=1,IF($A220&lt;VLOOKUP(H$5,NFI,5,0),1,0)*Table_NFI[[#This Row],[Hygiene Kit]],Table_NFI[[#This Row],[Hygiene Kit]])</f>
        <v>0</v>
      </c>
      <c r="Q220" s="179">
        <f ca="1">IF(NFI_Expiration=1,IF($A220&lt;VLOOKUP(I$5,NFI,5,0),1,0)*Table_NFI[[#This Row],[NFI Core Kit]],Table_NFI[[#This Row],[NFI Core Kit]])</f>
        <v>0</v>
      </c>
      <c r="R220" s="179">
        <f ca="1">IF(NFI_Expiration=1,IF($A220&lt;VLOOKUP(J$5,NFI,5,0),1,0)*Table_NFI[[#This Row],[Sanitary Kit]],Table_NFI[[#This Row],[Sanitary Kit]])</f>
        <v>0</v>
      </c>
      <c r="S220" s="179">
        <f ca="1">IF(NFI_Expiration=1,IF($A220&lt;VLOOKUP(K$5,NFI,5,0),1,0)*Table_NFI[[#This Row],[Mosquitoe net]],Table_NFI[[#This Row],[Mosquitoe net]])</f>
        <v>0</v>
      </c>
      <c r="T220" s="179">
        <f ca="1">IF(NFI_Expiration=1,IF($A220&lt;VLOOKUP(L$5,NFI,5,0),1,0)*Table_NFI[[#This Row],[Tarpaulin]],Table_NFI[[#This Row],[Tarpaulin]])</f>
        <v>0</v>
      </c>
      <c r="U220" s="179">
        <f ca="1">IF(NFI_Expiration=1,IF($A220&lt;VLOOKUP(M$5,NFI,5,0),1,0)*Table_NFI[[#This Row],[Blanket]],Table_NFI[[#This Row],[Blanket]])</f>
        <v>0</v>
      </c>
      <c r="V220" s="179">
        <f ca="1">IF(NFI_Expiration=1,IF($A220&lt;VLOOKUP(N$5,NFI,5,0),1,0)*Table_NFI[[#This Row],[Kitchen Set]],Table_NFI[[#This Row],[Kitchen Set]])</f>
        <v>0</v>
      </c>
      <c r="W220" s="179">
        <f ca="1">IF(NFI_Expiration=1,IF($A220&lt;VLOOKUP(O$5,NFI,5,0),1,0)*Table_NFI[[#This Row],[Complementary Kit]],Table_NFI[[#This Row],[Complementary Kit]])</f>
        <v>0</v>
      </c>
    </row>
    <row r="221" spans="1:23" ht="15">
      <c r="A221" s="125">
        <f ca="1" t="shared" si="4"/>
        <v>19.833333333333332</v>
      </c>
      <c r="B221" s="115">
        <v>41087</v>
      </c>
      <c r="C221" s="91" t="s">
        <v>960</v>
      </c>
      <c r="D221" s="91"/>
      <c r="E221" s="91" t="s">
        <v>434</v>
      </c>
      <c r="F221" s="1" t="s">
        <v>460</v>
      </c>
      <c r="G221" s="91" t="s">
        <v>539</v>
      </c>
      <c r="H221" s="91"/>
      <c r="I221" s="171"/>
      <c r="J221" s="171"/>
      <c r="K221" s="171"/>
      <c r="L221" s="171">
        <v>120</v>
      </c>
      <c r="M221" s="171"/>
      <c r="N221" s="171"/>
      <c r="O221" s="171"/>
      <c r="P221" s="179">
        <f ca="1">IF(NFI_Expiration=1,IF($A221&lt;VLOOKUP(H$5,NFI,5,0),1,0)*Table_NFI[[#This Row],[Hygiene Kit]],Table_NFI[[#This Row],[Hygiene Kit]])</f>
        <v>0</v>
      </c>
      <c r="Q221" s="179">
        <f ca="1">IF(NFI_Expiration=1,IF($A221&lt;VLOOKUP(I$5,NFI,5,0),1,0)*Table_NFI[[#This Row],[NFI Core Kit]],Table_NFI[[#This Row],[NFI Core Kit]])</f>
        <v>0</v>
      </c>
      <c r="R221" s="179">
        <f ca="1">IF(NFI_Expiration=1,IF($A221&lt;VLOOKUP(J$5,NFI,5,0),1,0)*Table_NFI[[#This Row],[Sanitary Kit]],Table_NFI[[#This Row],[Sanitary Kit]])</f>
        <v>0</v>
      </c>
      <c r="S221" s="179">
        <f ca="1">IF(NFI_Expiration=1,IF($A221&lt;VLOOKUP(K$5,NFI,5,0),1,0)*Table_NFI[[#This Row],[Mosquitoe net]],Table_NFI[[#This Row],[Mosquitoe net]])</f>
        <v>0</v>
      </c>
      <c r="T221" s="179">
        <f ca="1">IF(NFI_Expiration=1,IF($A221&lt;VLOOKUP(L$5,NFI,5,0),1,0)*Table_NFI[[#This Row],[Tarpaulin]],Table_NFI[[#This Row],[Tarpaulin]])</f>
        <v>0</v>
      </c>
      <c r="U221" s="179">
        <f ca="1">IF(NFI_Expiration=1,IF($A221&lt;VLOOKUP(M$5,NFI,5,0),1,0)*Table_NFI[[#This Row],[Blanket]],Table_NFI[[#This Row],[Blanket]])</f>
        <v>0</v>
      </c>
      <c r="V221" s="179">
        <f ca="1">IF(NFI_Expiration=1,IF($A221&lt;VLOOKUP(N$5,NFI,5,0),1,0)*Table_NFI[[#This Row],[Kitchen Set]],Table_NFI[[#This Row],[Kitchen Set]])</f>
        <v>0</v>
      </c>
      <c r="W221" s="179">
        <f ca="1">IF(NFI_Expiration=1,IF($A221&lt;VLOOKUP(O$5,NFI,5,0),1,0)*Table_NFI[[#This Row],[Complementary Kit]],Table_NFI[[#This Row],[Complementary Kit]])</f>
        <v>0</v>
      </c>
    </row>
    <row r="222" spans="1:23" ht="15">
      <c r="A222" s="125">
        <f ca="1" t="shared" si="4"/>
        <v>11.166666666666666</v>
      </c>
      <c r="B222" s="227">
        <v>41347</v>
      </c>
      <c r="C222" s="228" t="s">
        <v>963</v>
      </c>
      <c r="D222" s="229" t="s">
        <v>963</v>
      </c>
      <c r="E222" s="228" t="s">
        <v>434</v>
      </c>
      <c r="F222" s="187" t="s">
        <v>460</v>
      </c>
      <c r="G222" s="165" t="s">
        <v>512</v>
      </c>
      <c r="H222" s="165">
        <v>2907</v>
      </c>
      <c r="I222" s="230"/>
      <c r="J222" s="230"/>
      <c r="K222" s="230"/>
      <c r="L222" s="230"/>
      <c r="M222" s="231"/>
      <c r="N222" s="230"/>
      <c r="O222" s="230"/>
      <c r="P222" s="232">
        <f ca="1">IF(NFI_Expiration=1,IF($A222&lt;VLOOKUP(H$5,NFI,5,0),1,0)*Table_NFI[[#This Row],[Hygiene Kit]],Table_NFI[[#This Row],[Hygiene Kit]])</f>
        <v>0</v>
      </c>
      <c r="Q222" s="232">
        <f ca="1">IF(NFI_Expiration=1,IF($A222&lt;VLOOKUP(I$5,NFI,5,0),1,0)*Table_NFI[[#This Row],[NFI Core Kit]],Table_NFI[[#This Row],[NFI Core Kit]])</f>
        <v>0</v>
      </c>
      <c r="R222" s="233">
        <f ca="1">IF(NFI_Expiration=1,IF($A222&lt;VLOOKUP(J$5,NFI,5,0),1,0)*Table_NFI[[#This Row],[Sanitary Kit]],Table_NFI[[#This Row],[Sanitary Kit]])</f>
        <v>0</v>
      </c>
      <c r="S222" s="233">
        <f ca="1">IF(NFI_Expiration=1,IF($A222&lt;VLOOKUP(K$5,NFI,5,0),1,0)*Table_NFI[[#This Row],[Mosquitoe net]],Table_NFI[[#This Row],[Mosquitoe net]])</f>
        <v>0</v>
      </c>
      <c r="T222" s="233">
        <f ca="1">IF(NFI_Expiration=1,IF($A222&lt;VLOOKUP(L$5,NFI,5,0),1,0)*Table_NFI[[#This Row],[Tarpaulin]],Table_NFI[[#This Row],[Tarpaulin]])</f>
        <v>0</v>
      </c>
      <c r="U222" s="233">
        <f ca="1">IF(NFI_Expiration=1,IF($A222&lt;VLOOKUP(M$5,NFI,5,0),1,0)*Table_NFI[[#This Row],[Blanket]],Table_NFI[[#This Row],[Blanket]])</f>
        <v>0</v>
      </c>
      <c r="V222" s="233">
        <f ca="1">IF(NFI_Expiration=1,IF($A222&lt;VLOOKUP(N$5,NFI,5,0),1,0)*Table_NFI[[#This Row],[Kitchen Set]],Table_NFI[[#This Row],[Kitchen Set]])</f>
        <v>0</v>
      </c>
      <c r="W222" s="233">
        <f ca="1">IF(NFI_Expiration=1,IF($A222&lt;VLOOKUP(O$5,NFI,5,0),1,0)*Table_NFI[[#This Row],[Complementary Kit]],Table_NFI[[#This Row],[Complementary Kit]])</f>
        <v>0</v>
      </c>
    </row>
    <row r="223" spans="1:23" ht="15">
      <c r="A223" s="125">
        <f ca="1" t="shared" si="4"/>
        <v>12.8</v>
      </c>
      <c r="B223" s="227">
        <v>41298</v>
      </c>
      <c r="C223" s="228" t="s">
        <v>1248</v>
      </c>
      <c r="D223" s="229" t="s">
        <v>1248</v>
      </c>
      <c r="E223" s="228" t="s">
        <v>434</v>
      </c>
      <c r="F223" s="187" t="s">
        <v>460</v>
      </c>
      <c r="G223" s="165" t="s">
        <v>515</v>
      </c>
      <c r="H223" s="165">
        <v>3100</v>
      </c>
      <c r="I223" s="230"/>
      <c r="J223" s="230"/>
      <c r="K223" s="230"/>
      <c r="L223" s="230"/>
      <c r="M223" s="231"/>
      <c r="N223" s="230"/>
      <c r="O223" s="230"/>
      <c r="P223" s="232">
        <f ca="1">IF(NFI_Expiration=1,IF($A223&lt;VLOOKUP(H$5,NFI,5,0),1,0)*Table_NFI[[#This Row],[Hygiene Kit]],Table_NFI[[#This Row],[Hygiene Kit]])</f>
        <v>0</v>
      </c>
      <c r="Q223" s="232">
        <f ca="1">IF(NFI_Expiration=1,IF($A223&lt;VLOOKUP(I$5,NFI,5,0),1,0)*Table_NFI[[#This Row],[NFI Core Kit]],Table_NFI[[#This Row],[NFI Core Kit]])</f>
        <v>0</v>
      </c>
      <c r="R223" s="233">
        <f ca="1">IF(NFI_Expiration=1,IF($A223&lt;VLOOKUP(J$5,NFI,5,0),1,0)*Table_NFI[[#This Row],[Sanitary Kit]],Table_NFI[[#This Row],[Sanitary Kit]])</f>
        <v>0</v>
      </c>
      <c r="S223" s="233">
        <f ca="1">IF(NFI_Expiration=1,IF($A223&lt;VLOOKUP(K$5,NFI,5,0),1,0)*Table_NFI[[#This Row],[Mosquitoe net]],Table_NFI[[#This Row],[Mosquitoe net]])</f>
        <v>0</v>
      </c>
      <c r="T223" s="233">
        <f ca="1">IF(NFI_Expiration=1,IF($A223&lt;VLOOKUP(L$5,NFI,5,0),1,0)*Table_NFI[[#This Row],[Tarpaulin]],Table_NFI[[#This Row],[Tarpaulin]])</f>
        <v>0</v>
      </c>
      <c r="U223" s="233">
        <f ca="1">IF(NFI_Expiration=1,IF($A223&lt;VLOOKUP(M$5,NFI,5,0),1,0)*Table_NFI[[#This Row],[Blanket]],Table_NFI[[#This Row],[Blanket]])</f>
        <v>0</v>
      </c>
      <c r="V223" s="233">
        <f ca="1">IF(NFI_Expiration=1,IF($A223&lt;VLOOKUP(N$5,NFI,5,0),1,0)*Table_NFI[[#This Row],[Kitchen Set]],Table_NFI[[#This Row],[Kitchen Set]])</f>
        <v>0</v>
      </c>
      <c r="W223" s="233">
        <f ca="1">IF(NFI_Expiration=1,IF($A223&lt;VLOOKUP(O$5,NFI,5,0),1,0)*Table_NFI[[#This Row],[Complementary Kit]],Table_NFI[[#This Row],[Complementary Kit]])</f>
        <v>0</v>
      </c>
    </row>
    <row r="224" spans="1:23" ht="15">
      <c r="A224" s="125">
        <f ca="1" t="shared" si="4"/>
        <v>12.6</v>
      </c>
      <c r="B224" s="227">
        <v>41304</v>
      </c>
      <c r="C224" s="228" t="s">
        <v>1248</v>
      </c>
      <c r="D224" s="229" t="s">
        <v>1248</v>
      </c>
      <c r="E224" s="228" t="s">
        <v>434</v>
      </c>
      <c r="F224" s="187" t="s">
        <v>455</v>
      </c>
      <c r="G224" s="165" t="s">
        <v>486</v>
      </c>
      <c r="H224" s="165">
        <v>810</v>
      </c>
      <c r="I224" s="230"/>
      <c r="J224" s="230"/>
      <c r="K224" s="230"/>
      <c r="L224" s="230"/>
      <c r="M224" s="231"/>
      <c r="N224" s="230"/>
      <c r="O224" s="230"/>
      <c r="P224" s="232">
        <f ca="1">IF(NFI_Expiration=1,IF($A224&lt;VLOOKUP(H$5,NFI,5,0),1,0)*Table_NFI[[#This Row],[Hygiene Kit]],Table_NFI[[#This Row],[Hygiene Kit]])</f>
        <v>0</v>
      </c>
      <c r="Q224" s="232">
        <f ca="1">IF(NFI_Expiration=1,IF($A224&lt;VLOOKUP(I$5,NFI,5,0),1,0)*Table_NFI[[#This Row],[NFI Core Kit]],Table_NFI[[#This Row],[NFI Core Kit]])</f>
        <v>0</v>
      </c>
      <c r="R224" s="233">
        <f ca="1">IF(NFI_Expiration=1,IF($A224&lt;VLOOKUP(J$5,NFI,5,0),1,0)*Table_NFI[[#This Row],[Sanitary Kit]],Table_NFI[[#This Row],[Sanitary Kit]])</f>
        <v>0</v>
      </c>
      <c r="S224" s="233">
        <f ca="1">IF(NFI_Expiration=1,IF($A224&lt;VLOOKUP(K$5,NFI,5,0),1,0)*Table_NFI[[#This Row],[Mosquitoe net]],Table_NFI[[#This Row],[Mosquitoe net]])</f>
        <v>0</v>
      </c>
      <c r="T224" s="233">
        <f ca="1">IF(NFI_Expiration=1,IF($A224&lt;VLOOKUP(L$5,NFI,5,0),1,0)*Table_NFI[[#This Row],[Tarpaulin]],Table_NFI[[#This Row],[Tarpaulin]])</f>
        <v>0</v>
      </c>
      <c r="U224" s="233">
        <f ca="1">IF(NFI_Expiration=1,IF($A224&lt;VLOOKUP(M$5,NFI,5,0),1,0)*Table_NFI[[#This Row],[Blanket]],Table_NFI[[#This Row],[Blanket]])</f>
        <v>0</v>
      </c>
      <c r="V224" s="233">
        <f ca="1">IF(NFI_Expiration=1,IF($A224&lt;VLOOKUP(N$5,NFI,5,0),1,0)*Table_NFI[[#This Row],[Kitchen Set]],Table_NFI[[#This Row],[Kitchen Set]])</f>
        <v>0</v>
      </c>
      <c r="W224" s="233">
        <f ca="1">IF(NFI_Expiration=1,IF($A224&lt;VLOOKUP(O$5,NFI,5,0),1,0)*Table_NFI[[#This Row],[Complementary Kit]],Table_NFI[[#This Row],[Complementary Kit]])</f>
        <v>0</v>
      </c>
    </row>
    <row r="225" spans="1:23" ht="15">
      <c r="A225" s="125">
        <f ca="1" t="shared" si="4"/>
        <v>12.533333333333333</v>
      </c>
      <c r="B225" s="227">
        <v>41306</v>
      </c>
      <c r="C225" s="228" t="s">
        <v>1248</v>
      </c>
      <c r="D225" s="229" t="s">
        <v>1248</v>
      </c>
      <c r="E225" s="228" t="s">
        <v>434</v>
      </c>
      <c r="F225" s="187" t="s">
        <v>455</v>
      </c>
      <c r="G225" s="165" t="s">
        <v>485</v>
      </c>
      <c r="H225" s="165">
        <v>858</v>
      </c>
      <c r="I225" s="230"/>
      <c r="J225" s="230"/>
      <c r="K225" s="230"/>
      <c r="L225" s="230"/>
      <c r="M225" s="231"/>
      <c r="N225" s="230"/>
      <c r="O225" s="230"/>
      <c r="P225" s="232">
        <f ca="1">IF(NFI_Expiration=1,IF($A225&lt;VLOOKUP(H$5,NFI,5,0),1,0)*Table_NFI[[#This Row],[Hygiene Kit]],Table_NFI[[#This Row],[Hygiene Kit]])</f>
        <v>0</v>
      </c>
      <c r="Q225" s="232">
        <f ca="1">IF(NFI_Expiration=1,IF($A225&lt;VLOOKUP(I$5,NFI,5,0),1,0)*Table_NFI[[#This Row],[NFI Core Kit]],Table_NFI[[#This Row],[NFI Core Kit]])</f>
        <v>0</v>
      </c>
      <c r="R225" s="233">
        <f ca="1">IF(NFI_Expiration=1,IF($A225&lt;VLOOKUP(J$5,NFI,5,0),1,0)*Table_NFI[[#This Row],[Sanitary Kit]],Table_NFI[[#This Row],[Sanitary Kit]])</f>
        <v>0</v>
      </c>
      <c r="S225" s="233">
        <f ca="1">IF(NFI_Expiration=1,IF($A225&lt;VLOOKUP(K$5,NFI,5,0),1,0)*Table_NFI[[#This Row],[Mosquitoe net]],Table_NFI[[#This Row],[Mosquitoe net]])</f>
        <v>0</v>
      </c>
      <c r="T225" s="233">
        <f ca="1">IF(NFI_Expiration=1,IF($A225&lt;VLOOKUP(L$5,NFI,5,0),1,0)*Table_NFI[[#This Row],[Tarpaulin]],Table_NFI[[#This Row],[Tarpaulin]])</f>
        <v>0</v>
      </c>
      <c r="U225" s="233">
        <f ca="1">IF(NFI_Expiration=1,IF($A225&lt;VLOOKUP(M$5,NFI,5,0),1,0)*Table_NFI[[#This Row],[Blanket]],Table_NFI[[#This Row],[Blanket]])</f>
        <v>0</v>
      </c>
      <c r="V225" s="233">
        <f ca="1">IF(NFI_Expiration=1,IF($A225&lt;VLOOKUP(N$5,NFI,5,0),1,0)*Table_NFI[[#This Row],[Kitchen Set]],Table_NFI[[#This Row],[Kitchen Set]])</f>
        <v>0</v>
      </c>
      <c r="W225" s="233">
        <f ca="1">IF(NFI_Expiration=1,IF($A225&lt;VLOOKUP(O$5,NFI,5,0),1,0)*Table_NFI[[#This Row],[Complementary Kit]],Table_NFI[[#This Row],[Complementary Kit]])</f>
        <v>0</v>
      </c>
    </row>
    <row r="226" spans="1:23" ht="15">
      <c r="A226" s="125">
        <f ca="1" t="shared" si="4"/>
        <v>12.533333333333333</v>
      </c>
      <c r="B226" s="227">
        <v>41306</v>
      </c>
      <c r="C226" s="228" t="s">
        <v>1248</v>
      </c>
      <c r="D226" s="229" t="s">
        <v>1248</v>
      </c>
      <c r="E226" s="228" t="s">
        <v>434</v>
      </c>
      <c r="F226" s="187" t="s">
        <v>455</v>
      </c>
      <c r="G226" s="165" t="s">
        <v>483</v>
      </c>
      <c r="H226" s="165">
        <v>803</v>
      </c>
      <c r="I226" s="230"/>
      <c r="J226" s="230"/>
      <c r="K226" s="230"/>
      <c r="L226" s="230"/>
      <c r="M226" s="231"/>
      <c r="N226" s="230"/>
      <c r="O226" s="230"/>
      <c r="P226" s="232">
        <f ca="1">IF(NFI_Expiration=1,IF($A226&lt;VLOOKUP(H$5,NFI,5,0),1,0)*Table_NFI[[#This Row],[Hygiene Kit]],Table_NFI[[#This Row],[Hygiene Kit]])</f>
        <v>0</v>
      </c>
      <c r="Q226" s="232">
        <f ca="1">IF(NFI_Expiration=1,IF($A226&lt;VLOOKUP(I$5,NFI,5,0),1,0)*Table_NFI[[#This Row],[NFI Core Kit]],Table_NFI[[#This Row],[NFI Core Kit]])</f>
        <v>0</v>
      </c>
      <c r="R226" s="233">
        <f ca="1">IF(NFI_Expiration=1,IF($A226&lt;VLOOKUP(J$5,NFI,5,0),1,0)*Table_NFI[[#This Row],[Sanitary Kit]],Table_NFI[[#This Row],[Sanitary Kit]])</f>
        <v>0</v>
      </c>
      <c r="S226" s="233">
        <f ca="1">IF(NFI_Expiration=1,IF($A226&lt;VLOOKUP(K$5,NFI,5,0),1,0)*Table_NFI[[#This Row],[Mosquitoe net]],Table_NFI[[#This Row],[Mosquitoe net]])</f>
        <v>0</v>
      </c>
      <c r="T226" s="233">
        <f ca="1">IF(NFI_Expiration=1,IF($A226&lt;VLOOKUP(L$5,NFI,5,0),1,0)*Table_NFI[[#This Row],[Tarpaulin]],Table_NFI[[#This Row],[Tarpaulin]])</f>
        <v>0</v>
      </c>
      <c r="U226" s="233">
        <f ca="1">IF(NFI_Expiration=1,IF($A226&lt;VLOOKUP(M$5,NFI,5,0),1,0)*Table_NFI[[#This Row],[Blanket]],Table_NFI[[#This Row],[Blanket]])</f>
        <v>0</v>
      </c>
      <c r="V226" s="233">
        <f ca="1">IF(NFI_Expiration=1,IF($A226&lt;VLOOKUP(N$5,NFI,5,0),1,0)*Table_NFI[[#This Row],[Kitchen Set]],Table_NFI[[#This Row],[Kitchen Set]])</f>
        <v>0</v>
      </c>
      <c r="W226" s="233">
        <f ca="1">IF(NFI_Expiration=1,IF($A226&lt;VLOOKUP(O$5,NFI,5,0),1,0)*Table_NFI[[#This Row],[Complementary Kit]],Table_NFI[[#This Row],[Complementary Kit]])</f>
        <v>0</v>
      </c>
    </row>
    <row r="227" spans="1:23" ht="15">
      <c r="A227" s="125">
        <f ca="1" t="shared" si="4"/>
        <v>10.533333333333333</v>
      </c>
      <c r="B227" s="227">
        <v>41366</v>
      </c>
      <c r="C227" s="228" t="s">
        <v>1248</v>
      </c>
      <c r="D227" s="229" t="s">
        <v>1248</v>
      </c>
      <c r="E227" s="228" t="s">
        <v>434</v>
      </c>
      <c r="F227" s="187" t="s">
        <v>460</v>
      </c>
      <c r="G227" s="165" t="s">
        <v>515</v>
      </c>
      <c r="H227" s="165">
        <v>3100</v>
      </c>
      <c r="I227" s="230"/>
      <c r="J227" s="230"/>
      <c r="K227" s="230"/>
      <c r="L227" s="230"/>
      <c r="M227" s="231"/>
      <c r="N227" s="230"/>
      <c r="O227" s="230"/>
      <c r="P227" s="232">
        <f ca="1">IF(NFI_Expiration=1,IF($A227&lt;VLOOKUP(H$5,NFI,5,0),1,0)*Table_NFI[[#This Row],[Hygiene Kit]],Table_NFI[[#This Row],[Hygiene Kit]])</f>
        <v>0</v>
      </c>
      <c r="Q227" s="232">
        <f ca="1">IF(NFI_Expiration=1,IF($A227&lt;VLOOKUP(I$5,NFI,5,0),1,0)*Table_NFI[[#This Row],[NFI Core Kit]],Table_NFI[[#This Row],[NFI Core Kit]])</f>
        <v>0</v>
      </c>
      <c r="R227" s="233">
        <f ca="1">IF(NFI_Expiration=1,IF($A227&lt;VLOOKUP(J$5,NFI,5,0),1,0)*Table_NFI[[#This Row],[Sanitary Kit]],Table_NFI[[#This Row],[Sanitary Kit]])</f>
        <v>0</v>
      </c>
      <c r="S227" s="233">
        <f ca="1">IF(NFI_Expiration=1,IF($A227&lt;VLOOKUP(K$5,NFI,5,0),1,0)*Table_NFI[[#This Row],[Mosquitoe net]],Table_NFI[[#This Row],[Mosquitoe net]])</f>
        <v>0</v>
      </c>
      <c r="T227" s="233">
        <f ca="1">IF(NFI_Expiration=1,IF($A227&lt;VLOOKUP(L$5,NFI,5,0),1,0)*Table_NFI[[#This Row],[Tarpaulin]],Table_NFI[[#This Row],[Tarpaulin]])</f>
        <v>0</v>
      </c>
      <c r="U227" s="233">
        <f ca="1">IF(NFI_Expiration=1,IF($A227&lt;VLOOKUP(M$5,NFI,5,0),1,0)*Table_NFI[[#This Row],[Blanket]],Table_NFI[[#This Row],[Blanket]])</f>
        <v>0</v>
      </c>
      <c r="V227" s="233">
        <f ca="1">IF(NFI_Expiration=1,IF($A227&lt;VLOOKUP(N$5,NFI,5,0),1,0)*Table_NFI[[#This Row],[Kitchen Set]],Table_NFI[[#This Row],[Kitchen Set]])</f>
        <v>0</v>
      </c>
      <c r="W227" s="233">
        <f ca="1">IF(NFI_Expiration=1,IF($A227&lt;VLOOKUP(O$5,NFI,5,0),1,0)*Table_NFI[[#This Row],[Complementary Kit]],Table_NFI[[#This Row],[Complementary Kit]])</f>
        <v>0</v>
      </c>
    </row>
    <row r="228" spans="1:23" ht="15">
      <c r="A228" s="125">
        <f ca="1" t="shared" si="4"/>
        <v>9.8</v>
      </c>
      <c r="B228" s="227">
        <v>41388</v>
      </c>
      <c r="C228" s="228" t="s">
        <v>1248</v>
      </c>
      <c r="D228" s="229" t="s">
        <v>1248</v>
      </c>
      <c r="E228" s="228" t="s">
        <v>434</v>
      </c>
      <c r="F228" s="187" t="s">
        <v>455</v>
      </c>
      <c r="G228" s="165" t="s">
        <v>484</v>
      </c>
      <c r="H228" s="165">
        <v>1338</v>
      </c>
      <c r="I228" s="230"/>
      <c r="J228" s="230"/>
      <c r="K228" s="230"/>
      <c r="L228" s="230"/>
      <c r="M228" s="231"/>
      <c r="N228" s="230"/>
      <c r="O228" s="230"/>
      <c r="P228" s="232">
        <f ca="1">IF(NFI_Expiration=1,IF($A228&lt;VLOOKUP(H$5,NFI,5,0),1,0)*Table_NFI[[#This Row],[Hygiene Kit]],Table_NFI[[#This Row],[Hygiene Kit]])</f>
        <v>0</v>
      </c>
      <c r="Q228" s="232">
        <f ca="1">IF(NFI_Expiration=1,IF($A228&lt;VLOOKUP(I$5,NFI,5,0),1,0)*Table_NFI[[#This Row],[NFI Core Kit]],Table_NFI[[#This Row],[NFI Core Kit]])</f>
        <v>0</v>
      </c>
      <c r="R228" s="233">
        <f ca="1">IF(NFI_Expiration=1,IF($A228&lt;VLOOKUP(J$5,NFI,5,0),1,0)*Table_NFI[[#This Row],[Sanitary Kit]],Table_NFI[[#This Row],[Sanitary Kit]])</f>
        <v>0</v>
      </c>
      <c r="S228" s="233">
        <f ca="1">IF(NFI_Expiration=1,IF($A228&lt;VLOOKUP(K$5,NFI,5,0),1,0)*Table_NFI[[#This Row],[Mosquitoe net]],Table_NFI[[#This Row],[Mosquitoe net]])</f>
        <v>0</v>
      </c>
      <c r="T228" s="233">
        <f ca="1">IF(NFI_Expiration=1,IF($A228&lt;VLOOKUP(L$5,NFI,5,0),1,0)*Table_NFI[[#This Row],[Tarpaulin]],Table_NFI[[#This Row],[Tarpaulin]])</f>
        <v>0</v>
      </c>
      <c r="U228" s="233">
        <f ca="1">IF(NFI_Expiration=1,IF($A228&lt;VLOOKUP(M$5,NFI,5,0),1,0)*Table_NFI[[#This Row],[Blanket]],Table_NFI[[#This Row],[Blanket]])</f>
        <v>0</v>
      </c>
      <c r="V228" s="233">
        <f ca="1">IF(NFI_Expiration=1,IF($A228&lt;VLOOKUP(N$5,NFI,5,0),1,0)*Table_NFI[[#This Row],[Kitchen Set]],Table_NFI[[#This Row],[Kitchen Set]])</f>
        <v>0</v>
      </c>
      <c r="W228" s="233">
        <f ca="1">IF(NFI_Expiration=1,IF($A228&lt;VLOOKUP(O$5,NFI,5,0),1,0)*Table_NFI[[#This Row],[Complementary Kit]],Table_NFI[[#This Row],[Complementary Kit]])</f>
        <v>0</v>
      </c>
    </row>
    <row r="229" spans="1:23" ht="15">
      <c r="A229" s="125">
        <f ca="1" t="shared" si="4"/>
        <v>9.733333333333333</v>
      </c>
      <c r="B229" s="227">
        <v>41390</v>
      </c>
      <c r="C229" s="228" t="s">
        <v>1248</v>
      </c>
      <c r="D229" s="229" t="s">
        <v>1248</v>
      </c>
      <c r="E229" s="228" t="s">
        <v>434</v>
      </c>
      <c r="F229" s="187" t="s">
        <v>455</v>
      </c>
      <c r="G229" s="165" t="s">
        <v>485</v>
      </c>
      <c r="H229" s="165">
        <v>1028</v>
      </c>
      <c r="I229" s="230"/>
      <c r="J229" s="230"/>
      <c r="K229" s="230"/>
      <c r="L229" s="230"/>
      <c r="M229" s="231"/>
      <c r="N229" s="230"/>
      <c r="O229" s="230"/>
      <c r="P229" s="232">
        <f ca="1">IF(NFI_Expiration=1,IF($A229&lt;VLOOKUP(H$5,NFI,5,0),1,0)*Table_NFI[[#This Row],[Hygiene Kit]],Table_NFI[[#This Row],[Hygiene Kit]])</f>
        <v>0</v>
      </c>
      <c r="Q229" s="232">
        <f ca="1">IF(NFI_Expiration=1,IF($A229&lt;VLOOKUP(I$5,NFI,5,0),1,0)*Table_NFI[[#This Row],[NFI Core Kit]],Table_NFI[[#This Row],[NFI Core Kit]])</f>
        <v>0</v>
      </c>
      <c r="R229" s="233">
        <f ca="1">IF(NFI_Expiration=1,IF($A229&lt;VLOOKUP(J$5,NFI,5,0),1,0)*Table_NFI[[#This Row],[Sanitary Kit]],Table_NFI[[#This Row],[Sanitary Kit]])</f>
        <v>0</v>
      </c>
      <c r="S229" s="233">
        <f ca="1">IF(NFI_Expiration=1,IF($A229&lt;VLOOKUP(K$5,NFI,5,0),1,0)*Table_NFI[[#This Row],[Mosquitoe net]],Table_NFI[[#This Row],[Mosquitoe net]])</f>
        <v>0</v>
      </c>
      <c r="T229" s="233">
        <f ca="1">IF(NFI_Expiration=1,IF($A229&lt;VLOOKUP(L$5,NFI,5,0),1,0)*Table_NFI[[#This Row],[Tarpaulin]],Table_NFI[[#This Row],[Tarpaulin]])</f>
        <v>0</v>
      </c>
      <c r="U229" s="233">
        <f ca="1">IF(NFI_Expiration=1,IF($A229&lt;VLOOKUP(M$5,NFI,5,0),1,0)*Table_NFI[[#This Row],[Blanket]],Table_NFI[[#This Row],[Blanket]])</f>
        <v>0</v>
      </c>
      <c r="V229" s="233">
        <f ca="1">IF(NFI_Expiration=1,IF($A229&lt;VLOOKUP(N$5,NFI,5,0),1,0)*Table_NFI[[#This Row],[Kitchen Set]],Table_NFI[[#This Row],[Kitchen Set]])</f>
        <v>0</v>
      </c>
      <c r="W229" s="233">
        <f ca="1">IF(NFI_Expiration=1,IF($A229&lt;VLOOKUP(O$5,NFI,5,0),1,0)*Table_NFI[[#This Row],[Complementary Kit]],Table_NFI[[#This Row],[Complementary Kit]])</f>
        <v>0</v>
      </c>
    </row>
    <row r="230" spans="1:23" ht="15">
      <c r="A230" s="125">
        <f ca="1" t="shared" si="4"/>
        <v>8.866666666666667</v>
      </c>
      <c r="B230" s="227">
        <v>41416</v>
      </c>
      <c r="C230" s="228" t="s">
        <v>1248</v>
      </c>
      <c r="D230" s="229" t="s">
        <v>1248</v>
      </c>
      <c r="E230" s="228" t="s">
        <v>434</v>
      </c>
      <c r="F230" s="187" t="s">
        <v>455</v>
      </c>
      <c r="G230" s="165" t="s">
        <v>485</v>
      </c>
      <c r="H230" s="165">
        <v>903</v>
      </c>
      <c r="I230" s="230"/>
      <c r="J230" s="230"/>
      <c r="K230" s="230"/>
      <c r="L230" s="230"/>
      <c r="M230" s="231"/>
      <c r="N230" s="230"/>
      <c r="O230" s="230"/>
      <c r="P230" s="232">
        <f ca="1">IF(NFI_Expiration=1,IF($A230&lt;VLOOKUP(H$5,NFI,5,0),1,0)*Table_NFI[[#This Row],[Hygiene Kit]],Table_NFI[[#This Row],[Hygiene Kit]])</f>
        <v>0</v>
      </c>
      <c r="Q230" s="232">
        <f ca="1">IF(NFI_Expiration=1,IF($A230&lt;VLOOKUP(I$5,NFI,5,0),1,0)*Table_NFI[[#This Row],[NFI Core Kit]],Table_NFI[[#This Row],[NFI Core Kit]])</f>
        <v>0</v>
      </c>
      <c r="R230" s="233">
        <f ca="1">IF(NFI_Expiration=1,IF($A230&lt;VLOOKUP(J$5,NFI,5,0),1,0)*Table_NFI[[#This Row],[Sanitary Kit]],Table_NFI[[#This Row],[Sanitary Kit]])</f>
        <v>0</v>
      </c>
      <c r="S230" s="233">
        <f ca="1">IF(NFI_Expiration=1,IF($A230&lt;VLOOKUP(K$5,NFI,5,0),1,0)*Table_NFI[[#This Row],[Mosquitoe net]],Table_NFI[[#This Row],[Mosquitoe net]])</f>
        <v>0</v>
      </c>
      <c r="T230" s="233">
        <f ca="1">IF(NFI_Expiration=1,IF($A230&lt;VLOOKUP(L$5,NFI,5,0),1,0)*Table_NFI[[#This Row],[Tarpaulin]],Table_NFI[[#This Row],[Tarpaulin]])</f>
        <v>0</v>
      </c>
      <c r="U230" s="233">
        <f ca="1">IF(NFI_Expiration=1,IF($A230&lt;VLOOKUP(M$5,NFI,5,0),1,0)*Table_NFI[[#This Row],[Blanket]],Table_NFI[[#This Row],[Blanket]])</f>
        <v>0</v>
      </c>
      <c r="V230" s="233">
        <f ca="1">IF(NFI_Expiration=1,IF($A230&lt;VLOOKUP(N$5,NFI,5,0),1,0)*Table_NFI[[#This Row],[Kitchen Set]],Table_NFI[[#This Row],[Kitchen Set]])</f>
        <v>0</v>
      </c>
      <c r="W230" s="233">
        <f ca="1">IF(NFI_Expiration=1,IF($A230&lt;VLOOKUP(O$5,NFI,5,0),1,0)*Table_NFI[[#This Row],[Complementary Kit]],Table_NFI[[#This Row],[Complementary Kit]])</f>
        <v>0</v>
      </c>
    </row>
    <row r="231" spans="1:23" ht="15">
      <c r="A231" s="125">
        <f ca="1" t="shared" si="4"/>
        <v>8.833333333333334</v>
      </c>
      <c r="B231" s="227">
        <v>41417</v>
      </c>
      <c r="C231" s="228" t="s">
        <v>1248</v>
      </c>
      <c r="D231" s="229" t="s">
        <v>1248</v>
      </c>
      <c r="E231" s="228" t="s">
        <v>434</v>
      </c>
      <c r="F231" s="187" t="s">
        <v>460</v>
      </c>
      <c r="G231" s="165" t="s">
        <v>515</v>
      </c>
      <c r="H231" s="165">
        <v>4795</v>
      </c>
      <c r="I231" s="230"/>
      <c r="J231" s="230"/>
      <c r="K231" s="230"/>
      <c r="L231" s="230"/>
      <c r="M231" s="231"/>
      <c r="N231" s="230"/>
      <c r="O231" s="230"/>
      <c r="P231" s="232">
        <f ca="1">IF(NFI_Expiration=1,IF($A231&lt;VLOOKUP(H$5,NFI,5,0),1,0)*Table_NFI[[#This Row],[Hygiene Kit]],Table_NFI[[#This Row],[Hygiene Kit]])</f>
        <v>0</v>
      </c>
      <c r="Q231" s="232">
        <f ca="1">IF(NFI_Expiration=1,IF($A231&lt;VLOOKUP(I$5,NFI,5,0),1,0)*Table_NFI[[#This Row],[NFI Core Kit]],Table_NFI[[#This Row],[NFI Core Kit]])</f>
        <v>0</v>
      </c>
      <c r="R231" s="233">
        <f ca="1">IF(NFI_Expiration=1,IF($A231&lt;VLOOKUP(J$5,NFI,5,0),1,0)*Table_NFI[[#This Row],[Sanitary Kit]],Table_NFI[[#This Row],[Sanitary Kit]])</f>
        <v>0</v>
      </c>
      <c r="S231" s="233">
        <f ca="1">IF(NFI_Expiration=1,IF($A231&lt;VLOOKUP(K$5,NFI,5,0),1,0)*Table_NFI[[#This Row],[Mosquitoe net]],Table_NFI[[#This Row],[Mosquitoe net]])</f>
        <v>0</v>
      </c>
      <c r="T231" s="233">
        <f ca="1">IF(NFI_Expiration=1,IF($A231&lt;VLOOKUP(L$5,NFI,5,0),1,0)*Table_NFI[[#This Row],[Tarpaulin]],Table_NFI[[#This Row],[Tarpaulin]])</f>
        <v>0</v>
      </c>
      <c r="U231" s="233">
        <f ca="1">IF(NFI_Expiration=1,IF($A231&lt;VLOOKUP(M$5,NFI,5,0),1,0)*Table_NFI[[#This Row],[Blanket]],Table_NFI[[#This Row],[Blanket]])</f>
        <v>0</v>
      </c>
      <c r="V231" s="233">
        <f ca="1">IF(NFI_Expiration=1,IF($A231&lt;VLOOKUP(N$5,NFI,5,0),1,0)*Table_NFI[[#This Row],[Kitchen Set]],Table_NFI[[#This Row],[Kitchen Set]])</f>
        <v>0</v>
      </c>
      <c r="W231" s="233">
        <f ca="1">IF(NFI_Expiration=1,IF($A231&lt;VLOOKUP(O$5,NFI,5,0),1,0)*Table_NFI[[#This Row],[Complementary Kit]],Table_NFI[[#This Row],[Complementary Kit]])</f>
        <v>0</v>
      </c>
    </row>
    <row r="232" spans="1:23" ht="15">
      <c r="A232" s="125">
        <f ca="1" t="shared" si="4"/>
        <v>8.666666666666666</v>
      </c>
      <c r="B232" s="227">
        <v>41422</v>
      </c>
      <c r="C232" s="228" t="s">
        <v>1248</v>
      </c>
      <c r="D232" s="229" t="s">
        <v>1248</v>
      </c>
      <c r="E232" s="228" t="s">
        <v>434</v>
      </c>
      <c r="F232" s="187" t="s">
        <v>455</v>
      </c>
      <c r="G232" s="165" t="s">
        <v>486</v>
      </c>
      <c r="H232" s="165">
        <v>849</v>
      </c>
      <c r="I232" s="230"/>
      <c r="J232" s="230"/>
      <c r="K232" s="230"/>
      <c r="L232" s="230"/>
      <c r="M232" s="231"/>
      <c r="N232" s="230"/>
      <c r="O232" s="230"/>
      <c r="P232" s="232">
        <f ca="1">IF(NFI_Expiration=1,IF($A232&lt;VLOOKUP(H$5,NFI,5,0),1,0)*Table_NFI[[#This Row],[Hygiene Kit]],Table_NFI[[#This Row],[Hygiene Kit]])</f>
        <v>0</v>
      </c>
      <c r="Q232" s="232">
        <f ca="1">IF(NFI_Expiration=1,IF($A232&lt;VLOOKUP(I$5,NFI,5,0),1,0)*Table_NFI[[#This Row],[NFI Core Kit]],Table_NFI[[#This Row],[NFI Core Kit]])</f>
        <v>0</v>
      </c>
      <c r="R232" s="233">
        <f ca="1">IF(NFI_Expiration=1,IF($A232&lt;VLOOKUP(J$5,NFI,5,0),1,0)*Table_NFI[[#This Row],[Sanitary Kit]],Table_NFI[[#This Row],[Sanitary Kit]])</f>
        <v>0</v>
      </c>
      <c r="S232" s="233">
        <f ca="1">IF(NFI_Expiration=1,IF($A232&lt;VLOOKUP(K$5,NFI,5,0),1,0)*Table_NFI[[#This Row],[Mosquitoe net]],Table_NFI[[#This Row],[Mosquitoe net]])</f>
        <v>0</v>
      </c>
      <c r="T232" s="233">
        <f ca="1">IF(NFI_Expiration=1,IF($A232&lt;VLOOKUP(L$5,NFI,5,0),1,0)*Table_NFI[[#This Row],[Tarpaulin]],Table_NFI[[#This Row],[Tarpaulin]])</f>
        <v>0</v>
      </c>
      <c r="U232" s="233">
        <f ca="1">IF(NFI_Expiration=1,IF($A232&lt;VLOOKUP(M$5,NFI,5,0),1,0)*Table_NFI[[#This Row],[Blanket]],Table_NFI[[#This Row],[Blanket]])</f>
        <v>0</v>
      </c>
      <c r="V232" s="233">
        <f ca="1">IF(NFI_Expiration=1,IF($A232&lt;VLOOKUP(N$5,NFI,5,0),1,0)*Table_NFI[[#This Row],[Kitchen Set]],Table_NFI[[#This Row],[Kitchen Set]])</f>
        <v>0</v>
      </c>
      <c r="W232" s="233">
        <f ca="1">IF(NFI_Expiration=1,IF($A232&lt;VLOOKUP(O$5,NFI,5,0),1,0)*Table_NFI[[#This Row],[Complementary Kit]],Table_NFI[[#This Row],[Complementary Kit]])</f>
        <v>0</v>
      </c>
    </row>
    <row r="233" spans="1:23" ht="15">
      <c r="A233" s="125">
        <f ca="1" t="shared" si="4"/>
        <v>8.633333333333333</v>
      </c>
      <c r="B233" s="227">
        <v>41423</v>
      </c>
      <c r="C233" s="228" t="s">
        <v>1248</v>
      </c>
      <c r="D233" s="229" t="s">
        <v>1248</v>
      </c>
      <c r="E233" s="228" t="s">
        <v>434</v>
      </c>
      <c r="F233" s="187" t="s">
        <v>455</v>
      </c>
      <c r="G233" s="165" t="s">
        <v>484</v>
      </c>
      <c r="H233" s="165">
        <v>173</v>
      </c>
      <c r="I233" s="230"/>
      <c r="J233" s="230"/>
      <c r="K233" s="230"/>
      <c r="L233" s="230"/>
      <c r="M233" s="231"/>
      <c r="N233" s="230"/>
      <c r="O233" s="230"/>
      <c r="P233" s="232">
        <f ca="1">IF(NFI_Expiration=1,IF($A233&lt;VLOOKUP(H$5,NFI,5,0),1,0)*Table_NFI[[#This Row],[Hygiene Kit]],Table_NFI[[#This Row],[Hygiene Kit]])</f>
        <v>0</v>
      </c>
      <c r="Q233" s="232">
        <f ca="1">IF(NFI_Expiration=1,IF($A233&lt;VLOOKUP(I$5,NFI,5,0),1,0)*Table_NFI[[#This Row],[NFI Core Kit]],Table_NFI[[#This Row],[NFI Core Kit]])</f>
        <v>0</v>
      </c>
      <c r="R233" s="233">
        <f ca="1">IF(NFI_Expiration=1,IF($A233&lt;VLOOKUP(J$5,NFI,5,0),1,0)*Table_NFI[[#This Row],[Sanitary Kit]],Table_NFI[[#This Row],[Sanitary Kit]])</f>
        <v>0</v>
      </c>
      <c r="S233" s="233">
        <f ca="1">IF(NFI_Expiration=1,IF($A233&lt;VLOOKUP(K$5,NFI,5,0),1,0)*Table_NFI[[#This Row],[Mosquitoe net]],Table_NFI[[#This Row],[Mosquitoe net]])</f>
        <v>0</v>
      </c>
      <c r="T233" s="233">
        <f ca="1">IF(NFI_Expiration=1,IF($A233&lt;VLOOKUP(L$5,NFI,5,0),1,0)*Table_NFI[[#This Row],[Tarpaulin]],Table_NFI[[#This Row],[Tarpaulin]])</f>
        <v>0</v>
      </c>
      <c r="U233" s="233">
        <f ca="1">IF(NFI_Expiration=1,IF($A233&lt;VLOOKUP(M$5,NFI,5,0),1,0)*Table_NFI[[#This Row],[Blanket]],Table_NFI[[#This Row],[Blanket]])</f>
        <v>0</v>
      </c>
      <c r="V233" s="233">
        <f ca="1">IF(NFI_Expiration=1,IF($A233&lt;VLOOKUP(N$5,NFI,5,0),1,0)*Table_NFI[[#This Row],[Kitchen Set]],Table_NFI[[#This Row],[Kitchen Set]])</f>
        <v>0</v>
      </c>
      <c r="W233" s="233">
        <f ca="1">IF(NFI_Expiration=1,IF($A233&lt;VLOOKUP(O$5,NFI,5,0),1,0)*Table_NFI[[#This Row],[Complementary Kit]],Table_NFI[[#This Row],[Complementary Kit]])</f>
        <v>0</v>
      </c>
    </row>
    <row r="234" spans="1:23" ht="15">
      <c r="A234" s="125">
        <f ca="1" t="shared" si="4"/>
        <v>8.633333333333333</v>
      </c>
      <c r="B234" s="227">
        <v>41423</v>
      </c>
      <c r="C234" s="228" t="s">
        <v>1248</v>
      </c>
      <c r="D234" s="229" t="s">
        <v>1248</v>
      </c>
      <c r="E234" s="228" t="s">
        <v>434</v>
      </c>
      <c r="F234" s="187" t="s">
        <v>460</v>
      </c>
      <c r="G234" s="165" t="s">
        <v>518</v>
      </c>
      <c r="H234" s="165">
        <v>502</v>
      </c>
      <c r="I234" s="230"/>
      <c r="J234" s="230"/>
      <c r="K234" s="230"/>
      <c r="L234" s="230"/>
      <c r="M234" s="231"/>
      <c r="N234" s="230"/>
      <c r="O234" s="230"/>
      <c r="P234" s="232">
        <f ca="1">IF(NFI_Expiration=1,IF($A234&lt;VLOOKUP(H$5,NFI,5,0),1,0)*Table_NFI[[#This Row],[Hygiene Kit]],Table_NFI[[#This Row],[Hygiene Kit]])</f>
        <v>0</v>
      </c>
      <c r="Q234" s="232">
        <f ca="1">IF(NFI_Expiration=1,IF($A234&lt;VLOOKUP(I$5,NFI,5,0),1,0)*Table_NFI[[#This Row],[NFI Core Kit]],Table_NFI[[#This Row],[NFI Core Kit]])</f>
        <v>0</v>
      </c>
      <c r="R234" s="233">
        <f ca="1">IF(NFI_Expiration=1,IF($A234&lt;VLOOKUP(J$5,NFI,5,0),1,0)*Table_NFI[[#This Row],[Sanitary Kit]],Table_NFI[[#This Row],[Sanitary Kit]])</f>
        <v>0</v>
      </c>
      <c r="S234" s="233">
        <f ca="1">IF(NFI_Expiration=1,IF($A234&lt;VLOOKUP(K$5,NFI,5,0),1,0)*Table_NFI[[#This Row],[Mosquitoe net]],Table_NFI[[#This Row],[Mosquitoe net]])</f>
        <v>0</v>
      </c>
      <c r="T234" s="233">
        <f ca="1">IF(NFI_Expiration=1,IF($A234&lt;VLOOKUP(L$5,NFI,5,0),1,0)*Table_NFI[[#This Row],[Tarpaulin]],Table_NFI[[#This Row],[Tarpaulin]])</f>
        <v>0</v>
      </c>
      <c r="U234" s="233">
        <f ca="1">IF(NFI_Expiration=1,IF($A234&lt;VLOOKUP(M$5,NFI,5,0),1,0)*Table_NFI[[#This Row],[Blanket]],Table_NFI[[#This Row],[Blanket]])</f>
        <v>0</v>
      </c>
      <c r="V234" s="233">
        <f ca="1">IF(NFI_Expiration=1,IF($A234&lt;VLOOKUP(N$5,NFI,5,0),1,0)*Table_NFI[[#This Row],[Kitchen Set]],Table_NFI[[#This Row],[Kitchen Set]])</f>
        <v>0</v>
      </c>
      <c r="W234" s="233">
        <f ca="1">IF(NFI_Expiration=1,IF($A234&lt;VLOOKUP(O$5,NFI,5,0),1,0)*Table_NFI[[#This Row],[Complementary Kit]],Table_NFI[[#This Row],[Complementary Kit]])</f>
        <v>0</v>
      </c>
    </row>
    <row r="235" spans="1:23" ht="15">
      <c r="A235" s="125">
        <f ca="1" t="shared" si="4"/>
        <v>8.633333333333333</v>
      </c>
      <c r="B235" s="227">
        <v>41423</v>
      </c>
      <c r="C235" s="228" t="s">
        <v>1248</v>
      </c>
      <c r="D235" s="229" t="s">
        <v>1248</v>
      </c>
      <c r="E235" s="228" t="s">
        <v>434</v>
      </c>
      <c r="F235" s="187" t="s">
        <v>460</v>
      </c>
      <c r="G235" s="165" t="s">
        <v>516</v>
      </c>
      <c r="H235" s="165">
        <v>203</v>
      </c>
      <c r="I235" s="230"/>
      <c r="J235" s="230"/>
      <c r="K235" s="230"/>
      <c r="L235" s="230"/>
      <c r="M235" s="231"/>
      <c r="N235" s="230"/>
      <c r="O235" s="230"/>
      <c r="P235" s="232">
        <f ca="1">IF(NFI_Expiration=1,IF($A235&lt;VLOOKUP(H$5,NFI,5,0),1,0)*Table_NFI[[#This Row],[Hygiene Kit]],Table_NFI[[#This Row],[Hygiene Kit]])</f>
        <v>0</v>
      </c>
      <c r="Q235" s="232">
        <f ca="1">IF(NFI_Expiration=1,IF($A235&lt;VLOOKUP(I$5,NFI,5,0),1,0)*Table_NFI[[#This Row],[NFI Core Kit]],Table_NFI[[#This Row],[NFI Core Kit]])</f>
        <v>0</v>
      </c>
      <c r="R235" s="233">
        <f ca="1">IF(NFI_Expiration=1,IF($A235&lt;VLOOKUP(J$5,NFI,5,0),1,0)*Table_NFI[[#This Row],[Sanitary Kit]],Table_NFI[[#This Row],[Sanitary Kit]])</f>
        <v>0</v>
      </c>
      <c r="S235" s="233">
        <f ca="1">IF(NFI_Expiration=1,IF($A235&lt;VLOOKUP(K$5,NFI,5,0),1,0)*Table_NFI[[#This Row],[Mosquitoe net]],Table_NFI[[#This Row],[Mosquitoe net]])</f>
        <v>0</v>
      </c>
      <c r="T235" s="233">
        <f ca="1">IF(NFI_Expiration=1,IF($A235&lt;VLOOKUP(L$5,NFI,5,0),1,0)*Table_NFI[[#This Row],[Tarpaulin]],Table_NFI[[#This Row],[Tarpaulin]])</f>
        <v>0</v>
      </c>
      <c r="U235" s="233">
        <f ca="1">IF(NFI_Expiration=1,IF($A235&lt;VLOOKUP(M$5,NFI,5,0),1,0)*Table_NFI[[#This Row],[Blanket]],Table_NFI[[#This Row],[Blanket]])</f>
        <v>0</v>
      </c>
      <c r="V235" s="233">
        <f ca="1">IF(NFI_Expiration=1,IF($A235&lt;VLOOKUP(N$5,NFI,5,0),1,0)*Table_NFI[[#This Row],[Kitchen Set]],Table_NFI[[#This Row],[Kitchen Set]])</f>
        <v>0</v>
      </c>
      <c r="W235" s="233">
        <f ca="1">IF(NFI_Expiration=1,IF($A235&lt;VLOOKUP(O$5,NFI,5,0),1,0)*Table_NFI[[#This Row],[Complementary Kit]],Table_NFI[[#This Row],[Complementary Kit]])</f>
        <v>0</v>
      </c>
    </row>
    <row r="236" spans="1:23" ht="15">
      <c r="A236" s="125">
        <f ca="1" t="shared" si="4"/>
        <v>8.633333333333333</v>
      </c>
      <c r="B236" s="227">
        <v>41423</v>
      </c>
      <c r="C236" s="228" t="s">
        <v>1248</v>
      </c>
      <c r="D236" s="229" t="s">
        <v>1248</v>
      </c>
      <c r="E236" s="228" t="s">
        <v>434</v>
      </c>
      <c r="F236" s="187" t="s">
        <v>455</v>
      </c>
      <c r="G236" s="165" t="s">
        <v>483</v>
      </c>
      <c r="H236" s="165">
        <v>773</v>
      </c>
      <c r="I236" s="230"/>
      <c r="J236" s="230"/>
      <c r="K236" s="230"/>
      <c r="L236" s="230"/>
      <c r="M236" s="231"/>
      <c r="N236" s="230"/>
      <c r="O236" s="230"/>
      <c r="P236" s="232">
        <f ca="1">IF(NFI_Expiration=1,IF($A236&lt;VLOOKUP(H$5,NFI,5,0),1,0)*Table_NFI[[#This Row],[Hygiene Kit]],Table_NFI[[#This Row],[Hygiene Kit]])</f>
        <v>0</v>
      </c>
      <c r="Q236" s="232">
        <f ca="1">IF(NFI_Expiration=1,IF($A236&lt;VLOOKUP(I$5,NFI,5,0),1,0)*Table_NFI[[#This Row],[NFI Core Kit]],Table_NFI[[#This Row],[NFI Core Kit]])</f>
        <v>0</v>
      </c>
      <c r="R236" s="233">
        <f ca="1">IF(NFI_Expiration=1,IF($A236&lt;VLOOKUP(J$5,NFI,5,0),1,0)*Table_NFI[[#This Row],[Sanitary Kit]],Table_NFI[[#This Row],[Sanitary Kit]])</f>
        <v>0</v>
      </c>
      <c r="S236" s="233">
        <f ca="1">IF(NFI_Expiration=1,IF($A236&lt;VLOOKUP(K$5,NFI,5,0),1,0)*Table_NFI[[#This Row],[Mosquitoe net]],Table_NFI[[#This Row],[Mosquitoe net]])</f>
        <v>0</v>
      </c>
      <c r="T236" s="233">
        <f ca="1">IF(NFI_Expiration=1,IF($A236&lt;VLOOKUP(L$5,NFI,5,0),1,0)*Table_NFI[[#This Row],[Tarpaulin]],Table_NFI[[#This Row],[Tarpaulin]])</f>
        <v>0</v>
      </c>
      <c r="U236" s="233">
        <f ca="1">IF(NFI_Expiration=1,IF($A236&lt;VLOOKUP(M$5,NFI,5,0),1,0)*Table_NFI[[#This Row],[Blanket]],Table_NFI[[#This Row],[Blanket]])</f>
        <v>0</v>
      </c>
      <c r="V236" s="233">
        <f ca="1">IF(NFI_Expiration=1,IF($A236&lt;VLOOKUP(N$5,NFI,5,0),1,0)*Table_NFI[[#This Row],[Kitchen Set]],Table_NFI[[#This Row],[Kitchen Set]])</f>
        <v>0</v>
      </c>
      <c r="W236" s="233">
        <f ca="1">IF(NFI_Expiration=1,IF($A236&lt;VLOOKUP(O$5,NFI,5,0),1,0)*Table_NFI[[#This Row],[Complementary Kit]],Table_NFI[[#This Row],[Complementary Kit]])</f>
        <v>0</v>
      </c>
    </row>
    <row r="237" spans="1:23" ht="15">
      <c r="A237" s="125">
        <f ca="1" t="shared" si="4"/>
        <v>7.533333333333333</v>
      </c>
      <c r="B237" s="227">
        <v>41456</v>
      </c>
      <c r="C237" s="228" t="s">
        <v>960</v>
      </c>
      <c r="D237" s="229" t="s">
        <v>960</v>
      </c>
      <c r="E237" s="228" t="s">
        <v>434</v>
      </c>
      <c r="F237" s="187" t="s">
        <v>456</v>
      </c>
      <c r="G237" s="165" t="s">
        <v>494</v>
      </c>
      <c r="H237" s="165"/>
      <c r="I237" s="230">
        <v>116</v>
      </c>
      <c r="J237" s="230"/>
      <c r="K237" s="230"/>
      <c r="L237" s="230"/>
      <c r="M237" s="231"/>
      <c r="N237" s="230"/>
      <c r="O237" s="230"/>
      <c r="P237" s="232">
        <f ca="1">IF(NFI_Expiration=1,IF($A237&lt;VLOOKUP(H$5,NFI,5,0),1,0)*Table_NFI[[#This Row],[Hygiene Kit]],Table_NFI[[#This Row],[Hygiene Kit]])</f>
        <v>0</v>
      </c>
      <c r="Q237" s="232">
        <f ca="1">IF(NFI_Expiration=1,IF($A237&lt;VLOOKUP(I$5,NFI,5,0),1,0)*Table_NFI[[#This Row],[NFI Core Kit]],Table_NFI[[#This Row],[NFI Core Kit]])</f>
        <v>0</v>
      </c>
      <c r="R237" s="233">
        <f ca="1">IF(NFI_Expiration=1,IF($A237&lt;VLOOKUP(J$5,NFI,5,0),1,0)*Table_NFI[[#This Row],[Sanitary Kit]],Table_NFI[[#This Row],[Sanitary Kit]])</f>
        <v>0</v>
      </c>
      <c r="S237" s="233">
        <f ca="1">IF(NFI_Expiration=1,IF($A237&lt;VLOOKUP(K$5,NFI,5,0),1,0)*Table_NFI[[#This Row],[Mosquitoe net]],Table_NFI[[#This Row],[Mosquitoe net]])</f>
        <v>0</v>
      </c>
      <c r="T237" s="233">
        <f ca="1">IF(NFI_Expiration=1,IF($A237&lt;VLOOKUP(L$5,NFI,5,0),1,0)*Table_NFI[[#This Row],[Tarpaulin]],Table_NFI[[#This Row],[Tarpaulin]])</f>
        <v>0</v>
      </c>
      <c r="U237" s="233">
        <f ca="1">IF(NFI_Expiration=1,IF($A237&lt;VLOOKUP(M$5,NFI,5,0),1,0)*Table_NFI[[#This Row],[Blanket]],Table_NFI[[#This Row],[Blanket]])</f>
        <v>0</v>
      </c>
      <c r="V237" s="233">
        <f ca="1">IF(NFI_Expiration=1,IF($A237&lt;VLOOKUP(N$5,NFI,5,0),1,0)*Table_NFI[[#This Row],[Kitchen Set]],Table_NFI[[#This Row],[Kitchen Set]])</f>
        <v>0</v>
      </c>
      <c r="W237" s="233">
        <f ca="1">IF(NFI_Expiration=1,IF($A237&lt;VLOOKUP(O$5,NFI,5,0),1,0)*Table_NFI[[#This Row],[Complementary Kit]],Table_NFI[[#This Row],[Complementary Kit]])</f>
        <v>0</v>
      </c>
    </row>
    <row r="238" spans="1:23" ht="15">
      <c r="A238" s="125">
        <f ca="1" t="shared" si="4"/>
        <v>7.533333333333333</v>
      </c>
      <c r="B238" s="227">
        <v>41456</v>
      </c>
      <c r="C238" s="228" t="s">
        <v>960</v>
      </c>
      <c r="D238" s="229" t="s">
        <v>960</v>
      </c>
      <c r="E238" s="228" t="s">
        <v>434</v>
      </c>
      <c r="F238" s="187" t="s">
        <v>456</v>
      </c>
      <c r="G238" s="165" t="s">
        <v>493</v>
      </c>
      <c r="H238" s="165"/>
      <c r="I238" s="230">
        <v>230</v>
      </c>
      <c r="J238" s="230"/>
      <c r="K238" s="230"/>
      <c r="L238" s="230"/>
      <c r="M238" s="231"/>
      <c r="N238" s="230"/>
      <c r="O238" s="230"/>
      <c r="P238" s="232">
        <f ca="1">IF(NFI_Expiration=1,IF($A238&lt;VLOOKUP(H$5,NFI,5,0),1,0)*Table_NFI[[#This Row],[Hygiene Kit]],Table_NFI[[#This Row],[Hygiene Kit]])</f>
        <v>0</v>
      </c>
      <c r="Q238" s="232">
        <f ca="1">IF(NFI_Expiration=1,IF($A238&lt;VLOOKUP(I$5,NFI,5,0),1,0)*Table_NFI[[#This Row],[NFI Core Kit]],Table_NFI[[#This Row],[NFI Core Kit]])</f>
        <v>0</v>
      </c>
      <c r="R238" s="233">
        <f ca="1">IF(NFI_Expiration=1,IF($A238&lt;VLOOKUP(J$5,NFI,5,0),1,0)*Table_NFI[[#This Row],[Sanitary Kit]],Table_NFI[[#This Row],[Sanitary Kit]])</f>
        <v>0</v>
      </c>
      <c r="S238" s="233">
        <f ca="1">IF(NFI_Expiration=1,IF($A238&lt;VLOOKUP(K$5,NFI,5,0),1,0)*Table_NFI[[#This Row],[Mosquitoe net]],Table_NFI[[#This Row],[Mosquitoe net]])</f>
        <v>0</v>
      </c>
      <c r="T238" s="233">
        <f ca="1">IF(NFI_Expiration=1,IF($A238&lt;VLOOKUP(L$5,NFI,5,0),1,0)*Table_NFI[[#This Row],[Tarpaulin]],Table_NFI[[#This Row],[Tarpaulin]])</f>
        <v>0</v>
      </c>
      <c r="U238" s="233">
        <f ca="1">IF(NFI_Expiration=1,IF($A238&lt;VLOOKUP(M$5,NFI,5,0),1,0)*Table_NFI[[#This Row],[Blanket]],Table_NFI[[#This Row],[Blanket]])</f>
        <v>0</v>
      </c>
      <c r="V238" s="233">
        <f ca="1">IF(NFI_Expiration=1,IF($A238&lt;VLOOKUP(N$5,NFI,5,0),1,0)*Table_NFI[[#This Row],[Kitchen Set]],Table_NFI[[#This Row],[Kitchen Set]])</f>
        <v>0</v>
      </c>
      <c r="W238" s="233">
        <f ca="1">IF(NFI_Expiration=1,IF($A238&lt;VLOOKUP(O$5,NFI,5,0),1,0)*Table_NFI[[#This Row],[Complementary Kit]],Table_NFI[[#This Row],[Complementary Kit]])</f>
        <v>0</v>
      </c>
    </row>
    <row r="239" spans="1:23" ht="15">
      <c r="A239" s="125">
        <f ca="1" t="shared" si="4"/>
        <v>7.533333333333333</v>
      </c>
      <c r="B239" s="222">
        <v>41456</v>
      </c>
      <c r="C239" s="223" t="s">
        <v>960</v>
      </c>
      <c r="D239" s="224" t="s">
        <v>960</v>
      </c>
      <c r="E239" s="223" t="s">
        <v>434</v>
      </c>
      <c r="F239" s="1" t="s">
        <v>456</v>
      </c>
      <c r="G239" s="91" t="s">
        <v>496</v>
      </c>
      <c r="H239" s="91"/>
      <c r="I239" s="171">
        <v>145</v>
      </c>
      <c r="J239" s="171"/>
      <c r="K239" s="171"/>
      <c r="L239" s="171"/>
      <c r="M239" s="173"/>
      <c r="N239" s="171"/>
      <c r="O239" s="171"/>
      <c r="P239" s="225">
        <f ca="1">IF(NFI_Expiration=1,IF($A239&lt;VLOOKUP(H$5,NFI,5,0),1,0)*Table_NFI[[#This Row],[Hygiene Kit]],Table_NFI[[#This Row],[Hygiene Kit]])</f>
        <v>0</v>
      </c>
      <c r="Q239" s="225">
        <f ca="1">IF(NFI_Expiration=1,IF($A239&lt;VLOOKUP(I$5,NFI,5,0),1,0)*Table_NFI[[#This Row],[NFI Core Kit]],Table_NFI[[#This Row],[NFI Core Kit]])</f>
        <v>0</v>
      </c>
      <c r="R239" s="226">
        <f ca="1">IF(NFI_Expiration=1,IF($A239&lt;VLOOKUP(J$5,NFI,5,0),1,0)*Table_NFI[[#This Row],[Sanitary Kit]],Table_NFI[[#This Row],[Sanitary Kit]])</f>
        <v>0</v>
      </c>
      <c r="S239" s="226">
        <f ca="1">IF(NFI_Expiration=1,IF($A239&lt;VLOOKUP(K$5,NFI,5,0),1,0)*Table_NFI[[#This Row],[Mosquitoe net]],Table_NFI[[#This Row],[Mosquitoe net]])</f>
        <v>0</v>
      </c>
      <c r="T239" s="226">
        <f ca="1">IF(NFI_Expiration=1,IF($A239&lt;VLOOKUP(L$5,NFI,5,0),1,0)*Table_NFI[[#This Row],[Tarpaulin]],Table_NFI[[#This Row],[Tarpaulin]])</f>
        <v>0</v>
      </c>
      <c r="U239" s="226">
        <f ca="1">IF(NFI_Expiration=1,IF($A239&lt;VLOOKUP(M$5,NFI,5,0),1,0)*Table_NFI[[#This Row],[Blanket]],Table_NFI[[#This Row],[Blanket]])</f>
        <v>0</v>
      </c>
      <c r="V239" s="226">
        <f ca="1">IF(NFI_Expiration=1,IF($A239&lt;VLOOKUP(N$5,NFI,5,0),1,0)*Table_NFI[[#This Row],[Kitchen Set]],Table_NFI[[#This Row],[Kitchen Set]])</f>
        <v>0</v>
      </c>
      <c r="W239" s="226">
        <f ca="1">IF(NFI_Expiration=1,IF($A239&lt;VLOOKUP(O$5,NFI,5,0),1,0)*Table_NFI[[#This Row],[Complementary Kit]],Table_NFI[[#This Row],[Complementary Kit]])</f>
        <v>0</v>
      </c>
    </row>
    <row r="240" spans="1:23" ht="15">
      <c r="A240" s="125">
        <f ca="1" t="shared" si="4"/>
        <v>7.533333333333333</v>
      </c>
      <c r="B240" s="227">
        <v>41456</v>
      </c>
      <c r="C240" s="228" t="s">
        <v>960</v>
      </c>
      <c r="D240" s="229" t="s">
        <v>960</v>
      </c>
      <c r="E240" s="228" t="s">
        <v>434</v>
      </c>
      <c r="F240" s="187" t="s">
        <v>456</v>
      </c>
      <c r="G240" s="165" t="s">
        <v>495</v>
      </c>
      <c r="H240" s="165"/>
      <c r="I240" s="230">
        <v>108</v>
      </c>
      <c r="J240" s="230"/>
      <c r="K240" s="230"/>
      <c r="L240" s="230"/>
      <c r="M240" s="231"/>
      <c r="N240" s="230"/>
      <c r="O240" s="230"/>
      <c r="P240" s="232">
        <f ca="1">IF(NFI_Expiration=1,IF($A240&lt;VLOOKUP(H$5,NFI,5,0),1,0)*Table_NFI[[#This Row],[Hygiene Kit]],Table_NFI[[#This Row],[Hygiene Kit]])</f>
        <v>0</v>
      </c>
      <c r="Q240" s="232">
        <f ca="1">IF(NFI_Expiration=1,IF($A240&lt;VLOOKUP(I$5,NFI,5,0),1,0)*Table_NFI[[#This Row],[NFI Core Kit]],Table_NFI[[#This Row],[NFI Core Kit]])</f>
        <v>0</v>
      </c>
      <c r="R240" s="233">
        <f ca="1">IF(NFI_Expiration=1,IF($A240&lt;VLOOKUP(J$5,NFI,5,0),1,0)*Table_NFI[[#This Row],[Sanitary Kit]],Table_NFI[[#This Row],[Sanitary Kit]])</f>
        <v>0</v>
      </c>
      <c r="S240" s="233">
        <f ca="1">IF(NFI_Expiration=1,IF($A240&lt;VLOOKUP(K$5,NFI,5,0),1,0)*Table_NFI[[#This Row],[Mosquitoe net]],Table_NFI[[#This Row],[Mosquitoe net]])</f>
        <v>0</v>
      </c>
      <c r="T240" s="233">
        <f ca="1">IF(NFI_Expiration=1,IF($A240&lt;VLOOKUP(L$5,NFI,5,0),1,0)*Table_NFI[[#This Row],[Tarpaulin]],Table_NFI[[#This Row],[Tarpaulin]])</f>
        <v>0</v>
      </c>
      <c r="U240" s="233">
        <f ca="1">IF(NFI_Expiration=1,IF($A240&lt;VLOOKUP(M$5,NFI,5,0),1,0)*Table_NFI[[#This Row],[Blanket]],Table_NFI[[#This Row],[Blanket]])</f>
        <v>0</v>
      </c>
      <c r="V240" s="233">
        <f ca="1">IF(NFI_Expiration=1,IF($A240&lt;VLOOKUP(N$5,NFI,5,0),1,0)*Table_NFI[[#This Row],[Kitchen Set]],Table_NFI[[#This Row],[Kitchen Set]])</f>
        <v>0</v>
      </c>
      <c r="W240" s="233">
        <f ca="1">IF(NFI_Expiration=1,IF($A240&lt;VLOOKUP(O$5,NFI,5,0),1,0)*Table_NFI[[#This Row],[Complementary Kit]],Table_NFI[[#This Row],[Complementary Kit]])</f>
        <v>0</v>
      </c>
    </row>
    <row r="241" spans="1:23" ht="15">
      <c r="A241" s="125">
        <f ca="1" t="shared" si="4"/>
        <v>7.533333333333333</v>
      </c>
      <c r="B241" s="222">
        <v>41456</v>
      </c>
      <c r="C241" s="223" t="s">
        <v>960</v>
      </c>
      <c r="D241" s="224" t="s">
        <v>960</v>
      </c>
      <c r="E241" s="223" t="s">
        <v>434</v>
      </c>
      <c r="F241" s="1" t="s">
        <v>456</v>
      </c>
      <c r="G241" s="91" t="s">
        <v>491</v>
      </c>
      <c r="H241" s="91"/>
      <c r="I241" s="171">
        <v>112</v>
      </c>
      <c r="J241" s="171"/>
      <c r="K241" s="171"/>
      <c r="L241" s="171"/>
      <c r="M241" s="173"/>
      <c r="N241" s="171"/>
      <c r="O241" s="171"/>
      <c r="P241" s="225">
        <f ca="1">IF(NFI_Expiration=1,IF($A241&lt;VLOOKUP(H$5,NFI,5,0),1,0)*Table_NFI[[#This Row],[Hygiene Kit]],Table_NFI[[#This Row],[Hygiene Kit]])</f>
        <v>0</v>
      </c>
      <c r="Q241" s="225">
        <f ca="1">IF(NFI_Expiration=1,IF($A241&lt;VLOOKUP(I$5,NFI,5,0),1,0)*Table_NFI[[#This Row],[NFI Core Kit]],Table_NFI[[#This Row],[NFI Core Kit]])</f>
        <v>0</v>
      </c>
      <c r="R241" s="226">
        <f ca="1">IF(NFI_Expiration=1,IF($A241&lt;VLOOKUP(J$5,NFI,5,0),1,0)*Table_NFI[[#This Row],[Sanitary Kit]],Table_NFI[[#This Row],[Sanitary Kit]])</f>
        <v>0</v>
      </c>
      <c r="S241" s="226">
        <f ca="1">IF(NFI_Expiration=1,IF($A241&lt;VLOOKUP(K$5,NFI,5,0),1,0)*Table_NFI[[#This Row],[Mosquitoe net]],Table_NFI[[#This Row],[Mosquitoe net]])</f>
        <v>0</v>
      </c>
      <c r="T241" s="226">
        <f ca="1">IF(NFI_Expiration=1,IF($A241&lt;VLOOKUP(L$5,NFI,5,0),1,0)*Table_NFI[[#This Row],[Tarpaulin]],Table_NFI[[#This Row],[Tarpaulin]])</f>
        <v>0</v>
      </c>
      <c r="U241" s="226">
        <f ca="1">IF(NFI_Expiration=1,IF($A241&lt;VLOOKUP(M$5,NFI,5,0),1,0)*Table_NFI[[#This Row],[Blanket]],Table_NFI[[#This Row],[Blanket]])</f>
        <v>0</v>
      </c>
      <c r="V241" s="226">
        <f ca="1">IF(NFI_Expiration=1,IF($A241&lt;VLOOKUP(N$5,NFI,5,0),1,0)*Table_NFI[[#This Row],[Kitchen Set]],Table_NFI[[#This Row],[Kitchen Set]])</f>
        <v>0</v>
      </c>
      <c r="W241" s="226">
        <f ca="1">IF(NFI_Expiration=1,IF($A241&lt;VLOOKUP(O$5,NFI,5,0),1,0)*Table_NFI[[#This Row],[Complementary Kit]],Table_NFI[[#This Row],[Complementary Kit]])</f>
        <v>0</v>
      </c>
    </row>
    <row r="242" spans="1:23" ht="15">
      <c r="A242" s="125">
        <f ca="1" t="shared" si="4"/>
        <v>7.533333333333333</v>
      </c>
      <c r="B242" s="222">
        <v>41456</v>
      </c>
      <c r="C242" s="223" t="s">
        <v>960</v>
      </c>
      <c r="D242" s="224" t="s">
        <v>960</v>
      </c>
      <c r="E242" s="223" t="s">
        <v>434</v>
      </c>
      <c r="F242" s="1" t="s">
        <v>456</v>
      </c>
      <c r="G242" s="91" t="s">
        <v>497</v>
      </c>
      <c r="H242" s="91"/>
      <c r="I242" s="171">
        <v>159</v>
      </c>
      <c r="J242" s="171"/>
      <c r="K242" s="171"/>
      <c r="L242" s="171"/>
      <c r="M242" s="173"/>
      <c r="N242" s="171"/>
      <c r="O242" s="171"/>
      <c r="P242" s="225">
        <f ca="1">IF(NFI_Expiration=1,IF($A242&lt;VLOOKUP(H$5,NFI,5,0),1,0)*Table_NFI[[#This Row],[Hygiene Kit]],Table_NFI[[#This Row],[Hygiene Kit]])</f>
        <v>0</v>
      </c>
      <c r="Q242" s="225">
        <f ca="1">IF(NFI_Expiration=1,IF($A242&lt;VLOOKUP(I$5,NFI,5,0),1,0)*Table_NFI[[#This Row],[NFI Core Kit]],Table_NFI[[#This Row],[NFI Core Kit]])</f>
        <v>0</v>
      </c>
      <c r="R242" s="226">
        <f ca="1">IF(NFI_Expiration=1,IF($A242&lt;VLOOKUP(J$5,NFI,5,0),1,0)*Table_NFI[[#This Row],[Sanitary Kit]],Table_NFI[[#This Row],[Sanitary Kit]])</f>
        <v>0</v>
      </c>
      <c r="S242" s="226">
        <f ca="1">IF(NFI_Expiration=1,IF($A242&lt;VLOOKUP(K$5,NFI,5,0),1,0)*Table_NFI[[#This Row],[Mosquitoe net]],Table_NFI[[#This Row],[Mosquitoe net]])</f>
        <v>0</v>
      </c>
      <c r="T242" s="226">
        <f ca="1">IF(NFI_Expiration=1,IF($A242&lt;VLOOKUP(L$5,NFI,5,0),1,0)*Table_NFI[[#This Row],[Tarpaulin]],Table_NFI[[#This Row],[Tarpaulin]])</f>
        <v>0</v>
      </c>
      <c r="U242" s="226">
        <f ca="1">IF(NFI_Expiration=1,IF($A242&lt;VLOOKUP(M$5,NFI,5,0),1,0)*Table_NFI[[#This Row],[Blanket]],Table_NFI[[#This Row],[Blanket]])</f>
        <v>0</v>
      </c>
      <c r="V242" s="226">
        <f ca="1">IF(NFI_Expiration=1,IF($A242&lt;VLOOKUP(N$5,NFI,5,0),1,0)*Table_NFI[[#This Row],[Kitchen Set]],Table_NFI[[#This Row],[Kitchen Set]])</f>
        <v>0</v>
      </c>
      <c r="W242" s="226">
        <f ca="1">IF(NFI_Expiration=1,IF($A242&lt;VLOOKUP(O$5,NFI,5,0),1,0)*Table_NFI[[#This Row],[Complementary Kit]],Table_NFI[[#This Row],[Complementary Kit]])</f>
        <v>0</v>
      </c>
    </row>
    <row r="243" spans="1:23" ht="15">
      <c r="A243" s="125">
        <f ca="1" t="shared" si="4"/>
        <v>7.533333333333333</v>
      </c>
      <c r="B243" s="222">
        <v>41456</v>
      </c>
      <c r="C243" s="223" t="s">
        <v>960</v>
      </c>
      <c r="D243" s="224" t="s">
        <v>960</v>
      </c>
      <c r="E243" s="223" t="s">
        <v>434</v>
      </c>
      <c r="F243" s="1" t="s">
        <v>456</v>
      </c>
      <c r="G243" s="91" t="s">
        <v>487</v>
      </c>
      <c r="H243" s="91"/>
      <c r="I243" s="171">
        <v>83</v>
      </c>
      <c r="J243" s="171"/>
      <c r="K243" s="171"/>
      <c r="L243" s="171"/>
      <c r="M243" s="173"/>
      <c r="N243" s="171"/>
      <c r="O243" s="171"/>
      <c r="P243" s="225">
        <f ca="1">IF(NFI_Expiration=1,IF($A243&lt;VLOOKUP(H$5,NFI,5,0),1,0)*Table_NFI[[#This Row],[Hygiene Kit]],Table_NFI[[#This Row],[Hygiene Kit]])</f>
        <v>0</v>
      </c>
      <c r="Q243" s="225">
        <f ca="1">IF(NFI_Expiration=1,IF($A243&lt;VLOOKUP(I$5,NFI,5,0),1,0)*Table_NFI[[#This Row],[NFI Core Kit]],Table_NFI[[#This Row],[NFI Core Kit]])</f>
        <v>0</v>
      </c>
      <c r="R243" s="226">
        <f ca="1">IF(NFI_Expiration=1,IF($A243&lt;VLOOKUP(J$5,NFI,5,0),1,0)*Table_NFI[[#This Row],[Sanitary Kit]],Table_NFI[[#This Row],[Sanitary Kit]])</f>
        <v>0</v>
      </c>
      <c r="S243" s="226">
        <f ca="1">IF(NFI_Expiration=1,IF($A243&lt;VLOOKUP(K$5,NFI,5,0),1,0)*Table_NFI[[#This Row],[Mosquitoe net]],Table_NFI[[#This Row],[Mosquitoe net]])</f>
        <v>0</v>
      </c>
      <c r="T243" s="226">
        <f ca="1">IF(NFI_Expiration=1,IF($A243&lt;VLOOKUP(L$5,NFI,5,0),1,0)*Table_NFI[[#This Row],[Tarpaulin]],Table_NFI[[#This Row],[Tarpaulin]])</f>
        <v>0</v>
      </c>
      <c r="U243" s="226">
        <f ca="1">IF(NFI_Expiration=1,IF($A243&lt;VLOOKUP(M$5,NFI,5,0),1,0)*Table_NFI[[#This Row],[Blanket]],Table_NFI[[#This Row],[Blanket]])</f>
        <v>0</v>
      </c>
      <c r="V243" s="226">
        <f ca="1">IF(NFI_Expiration=1,IF($A243&lt;VLOOKUP(N$5,NFI,5,0),1,0)*Table_NFI[[#This Row],[Kitchen Set]],Table_NFI[[#This Row],[Kitchen Set]])</f>
        <v>0</v>
      </c>
      <c r="W243" s="226">
        <f ca="1">IF(NFI_Expiration=1,IF($A243&lt;VLOOKUP(O$5,NFI,5,0),1,0)*Table_NFI[[#This Row],[Complementary Kit]],Table_NFI[[#This Row],[Complementary Kit]])</f>
        <v>0</v>
      </c>
    </row>
    <row r="244" spans="1:23" ht="15">
      <c r="A244" s="125">
        <f ca="1" t="shared" si="4"/>
        <v>7.533333333333333</v>
      </c>
      <c r="B244" s="227">
        <v>41456</v>
      </c>
      <c r="C244" s="228" t="s">
        <v>960</v>
      </c>
      <c r="D244" s="229" t="s">
        <v>960</v>
      </c>
      <c r="E244" s="228" t="s">
        <v>434</v>
      </c>
      <c r="F244" s="187" t="s">
        <v>456</v>
      </c>
      <c r="G244" s="165" t="s">
        <v>488</v>
      </c>
      <c r="H244" s="165"/>
      <c r="I244" s="230">
        <v>50</v>
      </c>
      <c r="J244" s="230"/>
      <c r="K244" s="230"/>
      <c r="L244" s="230"/>
      <c r="M244" s="231"/>
      <c r="N244" s="230"/>
      <c r="O244" s="230"/>
      <c r="P244" s="232">
        <f ca="1">IF(NFI_Expiration=1,IF($A244&lt;VLOOKUP(H$5,NFI,5,0),1,0)*Table_NFI[[#This Row],[Hygiene Kit]],Table_NFI[[#This Row],[Hygiene Kit]])</f>
        <v>0</v>
      </c>
      <c r="Q244" s="232">
        <f ca="1">IF(NFI_Expiration=1,IF($A244&lt;VLOOKUP(I$5,NFI,5,0),1,0)*Table_NFI[[#This Row],[NFI Core Kit]],Table_NFI[[#This Row],[NFI Core Kit]])</f>
        <v>0</v>
      </c>
      <c r="R244" s="233">
        <f ca="1">IF(NFI_Expiration=1,IF($A244&lt;VLOOKUP(J$5,NFI,5,0),1,0)*Table_NFI[[#This Row],[Sanitary Kit]],Table_NFI[[#This Row],[Sanitary Kit]])</f>
        <v>0</v>
      </c>
      <c r="S244" s="233">
        <f ca="1">IF(NFI_Expiration=1,IF($A244&lt;VLOOKUP(K$5,NFI,5,0),1,0)*Table_NFI[[#This Row],[Mosquitoe net]],Table_NFI[[#This Row],[Mosquitoe net]])</f>
        <v>0</v>
      </c>
      <c r="T244" s="233">
        <f ca="1">IF(NFI_Expiration=1,IF($A244&lt;VLOOKUP(L$5,NFI,5,0),1,0)*Table_NFI[[#This Row],[Tarpaulin]],Table_NFI[[#This Row],[Tarpaulin]])</f>
        <v>0</v>
      </c>
      <c r="U244" s="233">
        <f ca="1">IF(NFI_Expiration=1,IF($A244&lt;VLOOKUP(M$5,NFI,5,0),1,0)*Table_NFI[[#This Row],[Blanket]],Table_NFI[[#This Row],[Blanket]])</f>
        <v>0</v>
      </c>
      <c r="V244" s="233">
        <f ca="1">IF(NFI_Expiration=1,IF($A244&lt;VLOOKUP(N$5,NFI,5,0),1,0)*Table_NFI[[#This Row],[Kitchen Set]],Table_NFI[[#This Row],[Kitchen Set]])</f>
        <v>0</v>
      </c>
      <c r="W244" s="233">
        <f ca="1">IF(NFI_Expiration=1,IF($A244&lt;VLOOKUP(O$5,NFI,5,0),1,0)*Table_NFI[[#This Row],[Complementary Kit]],Table_NFI[[#This Row],[Complementary Kit]])</f>
        <v>0</v>
      </c>
    </row>
    <row r="245" spans="1:23" ht="15">
      <c r="A245" s="125">
        <f ca="1" t="shared" si="4"/>
        <v>7.533333333333333</v>
      </c>
      <c r="B245" s="227">
        <v>41456</v>
      </c>
      <c r="C245" s="228" t="s">
        <v>960</v>
      </c>
      <c r="D245" s="229" t="s">
        <v>960</v>
      </c>
      <c r="E245" s="228" t="s">
        <v>434</v>
      </c>
      <c r="F245" s="187" t="s">
        <v>456</v>
      </c>
      <c r="G245" s="165" t="s">
        <v>489</v>
      </c>
      <c r="H245" s="165"/>
      <c r="I245" s="230">
        <v>45</v>
      </c>
      <c r="J245" s="230"/>
      <c r="K245" s="230"/>
      <c r="L245" s="230"/>
      <c r="M245" s="231"/>
      <c r="N245" s="230"/>
      <c r="O245" s="230"/>
      <c r="P245" s="232">
        <f ca="1">IF(NFI_Expiration=1,IF($A245&lt;VLOOKUP(H$5,NFI,5,0),1,0)*Table_NFI[[#This Row],[Hygiene Kit]],Table_NFI[[#This Row],[Hygiene Kit]])</f>
        <v>0</v>
      </c>
      <c r="Q245" s="232">
        <f ca="1">IF(NFI_Expiration=1,IF($A245&lt;VLOOKUP(I$5,NFI,5,0),1,0)*Table_NFI[[#This Row],[NFI Core Kit]],Table_NFI[[#This Row],[NFI Core Kit]])</f>
        <v>0</v>
      </c>
      <c r="R245" s="233">
        <f ca="1">IF(NFI_Expiration=1,IF($A245&lt;VLOOKUP(J$5,NFI,5,0),1,0)*Table_NFI[[#This Row],[Sanitary Kit]],Table_NFI[[#This Row],[Sanitary Kit]])</f>
        <v>0</v>
      </c>
      <c r="S245" s="233">
        <f ca="1">IF(NFI_Expiration=1,IF($A245&lt;VLOOKUP(K$5,NFI,5,0),1,0)*Table_NFI[[#This Row],[Mosquitoe net]],Table_NFI[[#This Row],[Mosquitoe net]])</f>
        <v>0</v>
      </c>
      <c r="T245" s="233">
        <f ca="1">IF(NFI_Expiration=1,IF($A245&lt;VLOOKUP(L$5,NFI,5,0),1,0)*Table_NFI[[#This Row],[Tarpaulin]],Table_NFI[[#This Row],[Tarpaulin]])</f>
        <v>0</v>
      </c>
      <c r="U245" s="233">
        <f ca="1">IF(NFI_Expiration=1,IF($A245&lt;VLOOKUP(M$5,NFI,5,0),1,0)*Table_NFI[[#This Row],[Blanket]],Table_NFI[[#This Row],[Blanket]])</f>
        <v>0</v>
      </c>
      <c r="V245" s="233">
        <f ca="1">IF(NFI_Expiration=1,IF($A245&lt;VLOOKUP(N$5,NFI,5,0),1,0)*Table_NFI[[#This Row],[Kitchen Set]],Table_NFI[[#This Row],[Kitchen Set]])</f>
        <v>0</v>
      </c>
      <c r="W245" s="233">
        <f ca="1">IF(NFI_Expiration=1,IF($A245&lt;VLOOKUP(O$5,NFI,5,0),1,0)*Table_NFI[[#This Row],[Complementary Kit]],Table_NFI[[#This Row],[Complementary Kit]])</f>
        <v>0</v>
      </c>
    </row>
    <row r="246" spans="1:23" ht="15">
      <c r="A246" s="125">
        <f ca="1" t="shared" si="4"/>
        <v>7.533333333333333</v>
      </c>
      <c r="B246" s="227">
        <v>41456</v>
      </c>
      <c r="C246" s="228" t="s">
        <v>1249</v>
      </c>
      <c r="D246" s="229" t="s">
        <v>960</v>
      </c>
      <c r="E246" s="228" t="s">
        <v>434</v>
      </c>
      <c r="F246" s="187" t="s">
        <v>456</v>
      </c>
      <c r="G246" s="165" t="s">
        <v>487</v>
      </c>
      <c r="H246" s="165"/>
      <c r="I246" s="230"/>
      <c r="J246" s="230">
        <v>60</v>
      </c>
      <c r="K246" s="230"/>
      <c r="L246" s="230"/>
      <c r="M246" s="231"/>
      <c r="N246" s="230"/>
      <c r="O246" s="230"/>
      <c r="P246" s="232">
        <f ca="1">IF(NFI_Expiration=1,IF($A246&lt;VLOOKUP(H$5,NFI,5,0),1,0)*Table_NFI[[#This Row],[Hygiene Kit]],Table_NFI[[#This Row],[Hygiene Kit]])</f>
        <v>0</v>
      </c>
      <c r="Q246" s="232">
        <f ca="1">IF(NFI_Expiration=1,IF($A246&lt;VLOOKUP(I$5,NFI,5,0),1,0)*Table_NFI[[#This Row],[NFI Core Kit]],Table_NFI[[#This Row],[NFI Core Kit]])</f>
        <v>0</v>
      </c>
      <c r="R246" s="233">
        <f ca="1">IF(NFI_Expiration=1,IF($A246&lt;VLOOKUP(J$5,NFI,5,0),1,0)*Table_NFI[[#This Row],[Sanitary Kit]],Table_NFI[[#This Row],[Sanitary Kit]])</f>
        <v>0</v>
      </c>
      <c r="S246" s="233">
        <f ca="1">IF(NFI_Expiration=1,IF($A246&lt;VLOOKUP(K$5,NFI,5,0),1,0)*Table_NFI[[#This Row],[Mosquitoe net]],Table_NFI[[#This Row],[Mosquitoe net]])</f>
        <v>0</v>
      </c>
      <c r="T246" s="233">
        <f ca="1">IF(NFI_Expiration=1,IF($A246&lt;VLOOKUP(L$5,NFI,5,0),1,0)*Table_NFI[[#This Row],[Tarpaulin]],Table_NFI[[#This Row],[Tarpaulin]])</f>
        <v>0</v>
      </c>
      <c r="U246" s="233">
        <f ca="1">IF(NFI_Expiration=1,IF($A246&lt;VLOOKUP(M$5,NFI,5,0),1,0)*Table_NFI[[#This Row],[Blanket]],Table_NFI[[#This Row],[Blanket]])</f>
        <v>0</v>
      </c>
      <c r="V246" s="233">
        <f ca="1">IF(NFI_Expiration=1,IF($A246&lt;VLOOKUP(N$5,NFI,5,0),1,0)*Table_NFI[[#This Row],[Kitchen Set]],Table_NFI[[#This Row],[Kitchen Set]])</f>
        <v>0</v>
      </c>
      <c r="W246" s="233">
        <f ca="1">IF(NFI_Expiration=1,IF($A246&lt;VLOOKUP(O$5,NFI,5,0),1,0)*Table_NFI[[#This Row],[Complementary Kit]],Table_NFI[[#This Row],[Complementary Kit]])</f>
        <v>0</v>
      </c>
    </row>
    <row r="247" spans="1:23" ht="15">
      <c r="A247" s="125">
        <f ca="1" t="shared" si="4"/>
        <v>7.533333333333333</v>
      </c>
      <c r="B247" s="227">
        <v>41456</v>
      </c>
      <c r="C247" s="228" t="s">
        <v>960</v>
      </c>
      <c r="D247" s="193" t="s">
        <v>960</v>
      </c>
      <c r="E247" s="228" t="s">
        <v>434</v>
      </c>
      <c r="F247" s="187" t="s">
        <v>456</v>
      </c>
      <c r="G247" s="165" t="s">
        <v>490</v>
      </c>
      <c r="H247" s="165"/>
      <c r="I247" s="230">
        <v>163</v>
      </c>
      <c r="J247" s="230"/>
      <c r="K247" s="230"/>
      <c r="L247" s="230"/>
      <c r="M247" s="231"/>
      <c r="N247" s="230"/>
      <c r="O247" s="230"/>
      <c r="P247" s="232">
        <f ca="1">IF(NFI_Expiration=1,IF($A247&lt;VLOOKUP(H$5,NFI,5,0),1,0)*Table_NFI[[#This Row],[Hygiene Kit]],Table_NFI[[#This Row],[Hygiene Kit]])</f>
        <v>0</v>
      </c>
      <c r="Q247" s="232">
        <f ca="1">IF(NFI_Expiration=1,IF($A247&lt;VLOOKUP(I$5,NFI,5,0),1,0)*Table_NFI[[#This Row],[NFI Core Kit]],Table_NFI[[#This Row],[NFI Core Kit]])</f>
        <v>0</v>
      </c>
      <c r="R247" s="233">
        <f ca="1">IF(NFI_Expiration=1,IF($A247&lt;VLOOKUP(J$5,NFI,5,0),1,0)*Table_NFI[[#This Row],[Sanitary Kit]],Table_NFI[[#This Row],[Sanitary Kit]])</f>
        <v>0</v>
      </c>
      <c r="S247" s="233">
        <f ca="1">IF(NFI_Expiration=1,IF($A247&lt;VLOOKUP(K$5,NFI,5,0),1,0)*Table_NFI[[#This Row],[Mosquitoe net]],Table_NFI[[#This Row],[Mosquitoe net]])</f>
        <v>0</v>
      </c>
      <c r="T247" s="233">
        <f ca="1">IF(NFI_Expiration=1,IF($A247&lt;VLOOKUP(L$5,NFI,5,0),1,0)*Table_NFI[[#This Row],[Tarpaulin]],Table_NFI[[#This Row],[Tarpaulin]])</f>
        <v>0</v>
      </c>
      <c r="U247" s="233">
        <f ca="1">IF(NFI_Expiration=1,IF($A247&lt;VLOOKUP(M$5,NFI,5,0),1,0)*Table_NFI[[#This Row],[Blanket]],Table_NFI[[#This Row],[Blanket]])</f>
        <v>0</v>
      </c>
      <c r="V247" s="233">
        <f ca="1">IF(NFI_Expiration=1,IF($A247&lt;VLOOKUP(N$5,NFI,5,0),1,0)*Table_NFI[[#This Row],[Kitchen Set]],Table_NFI[[#This Row],[Kitchen Set]])</f>
        <v>0</v>
      </c>
      <c r="W247" s="233">
        <f ca="1">IF(NFI_Expiration=1,IF($A247&lt;VLOOKUP(O$5,NFI,5,0),1,0)*Table_NFI[[#This Row],[Complementary Kit]],Table_NFI[[#This Row],[Complementary Kit]])</f>
        <v>0</v>
      </c>
    </row>
    <row r="248" spans="1:23" ht="15">
      <c r="A248" s="125">
        <f ca="1">IF(ISBLANK(B248),"",(TODAY()-B248)/30)</f>
        <v>8.1</v>
      </c>
      <c r="B248" s="222">
        <v>41439</v>
      </c>
      <c r="C248" s="127" t="s">
        <v>960</v>
      </c>
      <c r="D248" s="193" t="s">
        <v>960</v>
      </c>
      <c r="E248" s="127" t="s">
        <v>433</v>
      </c>
      <c r="F248" s="1" t="s">
        <v>189</v>
      </c>
      <c r="G248" s="91" t="s">
        <v>223</v>
      </c>
      <c r="H248" s="91"/>
      <c r="I248" s="171"/>
      <c r="J248" s="171">
        <v>42</v>
      </c>
      <c r="K248" s="171">
        <v>42</v>
      </c>
      <c r="L248" s="171">
        <v>21</v>
      </c>
      <c r="M248" s="173"/>
      <c r="N248" s="171">
        <v>42</v>
      </c>
      <c r="O248" s="171">
        <v>21</v>
      </c>
      <c r="P248" s="225">
        <v>21</v>
      </c>
      <c r="Q248" s="225">
        <f ca="1">IF(NFI_Expiration=1,IF($A248&lt;VLOOKUP(I$5,NFI,5,0),1,0)*Table_NFI[[#This Row],[NFI Core Kit]],Table_NFI[[#This Row],[NFI Core Kit]])</f>
        <v>0</v>
      </c>
      <c r="R248" s="226">
        <f ca="1">IF(NFI_Expiration=1,IF($A248&lt;VLOOKUP(J$5,NFI,5,0),1,0)*Table_NFI[[#This Row],[Sanitary Kit]],Table_NFI[[#This Row],[Sanitary Kit]])</f>
        <v>0</v>
      </c>
      <c r="S248" s="226">
        <f ca="1">IF(NFI_Expiration=1,IF($A248&lt;VLOOKUP(K$5,NFI,5,0),1,0)*Table_NFI[[#This Row],[Mosquitoe net]],Table_NFI[[#This Row],[Mosquitoe net]])</f>
        <v>0</v>
      </c>
      <c r="T248" s="226">
        <f ca="1">IF(NFI_Expiration=1,IF($A248&lt;VLOOKUP(L$5,NFI,5,0),1,0)*Table_NFI[[#This Row],[Tarpaulin]],Table_NFI[[#This Row],[Tarpaulin]])</f>
        <v>0</v>
      </c>
      <c r="U248" s="226">
        <f ca="1">IF(NFI_Expiration=1,IF($A248&lt;VLOOKUP(M$5,NFI,5,0),1,0)*Table_NFI[[#This Row],[Blanket]],Table_NFI[[#This Row],[Blanket]])</f>
        <v>0</v>
      </c>
      <c r="V248" s="226">
        <f ca="1">IF(NFI_Expiration=1,IF($A248&lt;VLOOKUP(N$5,NFI,5,0),1,0)*Table_NFI[[#This Row],[Kitchen Set]],Table_NFI[[#This Row],[Kitchen Set]])</f>
        <v>0</v>
      </c>
      <c r="W248" s="226">
        <f ca="1">IF(NFI_Expiration=1,IF($A248&lt;VLOOKUP(O$5,NFI,5,0),1,0)*Table_NFI[[#This Row],[Complementary Kit]],Table_NFI[[#This Row],[Complementary Kit]])</f>
        <v>0</v>
      </c>
    </row>
    <row r="249" spans="1:23" ht="15">
      <c r="A249" s="125">
        <f ca="1">IF(ISBLANK(B249),"",(TODAY()-B249)/30)</f>
        <v>8.133333333333333</v>
      </c>
      <c r="B249" s="227">
        <v>41438</v>
      </c>
      <c r="C249" s="192" t="s">
        <v>960</v>
      </c>
      <c r="D249" s="193" t="s">
        <v>960</v>
      </c>
      <c r="E249" s="192" t="s">
        <v>433</v>
      </c>
      <c r="F249" s="187" t="s">
        <v>189</v>
      </c>
      <c r="G249" s="165" t="s">
        <v>190</v>
      </c>
      <c r="H249" s="165"/>
      <c r="I249" s="230"/>
      <c r="J249" s="230">
        <v>1518</v>
      </c>
      <c r="K249" s="230">
        <v>108</v>
      </c>
      <c r="L249" s="230">
        <v>39</v>
      </c>
      <c r="M249" s="231"/>
      <c r="N249" s="230">
        <v>108</v>
      </c>
      <c r="O249" s="230">
        <v>39</v>
      </c>
      <c r="P249" s="232">
        <v>39</v>
      </c>
      <c r="Q249" s="232">
        <f ca="1">IF(NFI_Expiration=1,IF($A249&lt;VLOOKUP(I$5,NFI,5,0),1,0)*Table_NFI[[#This Row],[NFI Core Kit]],Table_NFI[[#This Row],[NFI Core Kit]])</f>
        <v>0</v>
      </c>
      <c r="R249" s="233">
        <f ca="1">IF(NFI_Expiration=1,IF($A249&lt;VLOOKUP(J$5,NFI,5,0),1,0)*Table_NFI[[#This Row],[Sanitary Kit]],Table_NFI[[#This Row],[Sanitary Kit]])</f>
        <v>0</v>
      </c>
      <c r="S249" s="233">
        <f ca="1">IF(NFI_Expiration=1,IF($A249&lt;VLOOKUP(K$5,NFI,5,0),1,0)*Table_NFI[[#This Row],[Mosquitoe net]],Table_NFI[[#This Row],[Mosquitoe net]])</f>
        <v>0</v>
      </c>
      <c r="T249" s="233">
        <f ca="1">IF(NFI_Expiration=1,IF($A249&lt;VLOOKUP(L$5,NFI,5,0),1,0)*Table_NFI[[#This Row],[Tarpaulin]],Table_NFI[[#This Row],[Tarpaulin]])</f>
        <v>0</v>
      </c>
      <c r="U249" s="233">
        <f ca="1">IF(NFI_Expiration=1,IF($A249&lt;VLOOKUP(M$5,NFI,5,0),1,0)*Table_NFI[[#This Row],[Blanket]],Table_NFI[[#This Row],[Blanket]])</f>
        <v>0</v>
      </c>
      <c r="V249" s="233">
        <f ca="1">IF(NFI_Expiration=1,IF($A249&lt;VLOOKUP(N$5,NFI,5,0),1,0)*Table_NFI[[#This Row],[Kitchen Set]],Table_NFI[[#This Row],[Kitchen Set]])</f>
        <v>0</v>
      </c>
      <c r="W249" s="233">
        <f ca="1">IF(NFI_Expiration=1,IF($A249&lt;VLOOKUP(O$5,NFI,5,0),1,0)*Table_NFI[[#This Row],[Complementary Kit]],Table_NFI[[#This Row],[Complementary Kit]])</f>
        <v>0</v>
      </c>
    </row>
    <row r="250" spans="1:23" ht="15">
      <c r="A250" s="125">
        <f ca="1" t="shared" si="4"/>
        <v>13.566666666666666</v>
      </c>
      <c r="B250" s="256">
        <v>41275</v>
      </c>
      <c r="C250" s="228" t="s">
        <v>1250</v>
      </c>
      <c r="D250" s="229" t="s">
        <v>1250</v>
      </c>
      <c r="E250" s="228" t="s">
        <v>434</v>
      </c>
      <c r="F250" s="187" t="s">
        <v>452</v>
      </c>
      <c r="G250" s="120" t="s">
        <v>478</v>
      </c>
      <c r="H250" s="165">
        <v>50</v>
      </c>
      <c r="I250" s="230"/>
      <c r="J250" s="230"/>
      <c r="K250" s="230"/>
      <c r="L250" s="230"/>
      <c r="M250" s="231"/>
      <c r="N250" s="230"/>
      <c r="O250" s="230"/>
      <c r="P250" s="232">
        <f ca="1">IF(NFI_Expiration=1,IF($A250&lt;VLOOKUP(H$5,NFI,5,0),1,0)*Table_NFI[[#This Row],[Hygiene Kit]],Table_NFI[[#This Row],[Hygiene Kit]])</f>
        <v>0</v>
      </c>
      <c r="Q250" s="232">
        <f ca="1">IF(NFI_Expiration=1,IF($A250&lt;VLOOKUP(I$5,NFI,5,0),1,0)*Table_NFI[[#This Row],[NFI Core Kit]],Table_NFI[[#This Row],[NFI Core Kit]])</f>
        <v>0</v>
      </c>
      <c r="R250" s="233">
        <f ca="1">IF(NFI_Expiration=1,IF($A250&lt;VLOOKUP(J$5,NFI,5,0),1,0)*Table_NFI[[#This Row],[Sanitary Kit]],Table_NFI[[#This Row],[Sanitary Kit]])</f>
        <v>0</v>
      </c>
      <c r="S250" s="233">
        <f ca="1">IF(NFI_Expiration=1,IF($A250&lt;VLOOKUP(K$5,NFI,5,0),1,0)*Table_NFI[[#This Row],[Mosquitoe net]],Table_NFI[[#This Row],[Mosquitoe net]])</f>
        <v>0</v>
      </c>
      <c r="T250" s="233">
        <f ca="1">IF(NFI_Expiration=1,IF($A250&lt;VLOOKUP(L$5,NFI,5,0),1,0)*Table_NFI[[#This Row],[Tarpaulin]],Table_NFI[[#This Row],[Tarpaulin]])</f>
        <v>0</v>
      </c>
      <c r="U250" s="233">
        <f ca="1">IF(NFI_Expiration=1,IF($A250&lt;VLOOKUP(M$5,NFI,5,0),1,0)*Table_NFI[[#This Row],[Blanket]],Table_NFI[[#This Row],[Blanket]])</f>
        <v>0</v>
      </c>
      <c r="V250" s="233">
        <f ca="1">IF(NFI_Expiration=1,IF($A250&lt;VLOOKUP(N$5,NFI,5,0),1,0)*Table_NFI[[#This Row],[Kitchen Set]],Table_NFI[[#This Row],[Kitchen Set]])</f>
        <v>0</v>
      </c>
      <c r="W250" s="233">
        <f ca="1">IF(NFI_Expiration=1,IF($A250&lt;VLOOKUP(O$5,NFI,5,0),1,0)*Table_NFI[[#This Row],[Complementary Kit]],Table_NFI[[#This Row],[Complementary Kit]])</f>
        <v>0</v>
      </c>
    </row>
    <row r="251" spans="1:23" ht="15">
      <c r="A251" s="125">
        <f ca="1" t="shared" si="4"/>
        <v>13.566666666666666</v>
      </c>
      <c r="B251" s="256">
        <v>41275</v>
      </c>
      <c r="C251" s="228" t="s">
        <v>1250</v>
      </c>
      <c r="D251" s="229" t="s">
        <v>1250</v>
      </c>
      <c r="E251" s="192" t="s">
        <v>434</v>
      </c>
      <c r="F251" s="187" t="s">
        <v>460</v>
      </c>
      <c r="G251" s="165" t="s">
        <v>521</v>
      </c>
      <c r="H251" s="165">
        <v>80</v>
      </c>
      <c r="I251" s="230"/>
      <c r="J251" s="230"/>
      <c r="K251" s="230"/>
      <c r="L251" s="230"/>
      <c r="M251" s="231"/>
      <c r="N251" s="230"/>
      <c r="O251" s="230"/>
      <c r="P251" s="232">
        <f ca="1">IF(NFI_Expiration=1,IF($A251&lt;VLOOKUP(H$5,NFI,5,0),1,0)*Table_NFI[[#This Row],[Hygiene Kit]],Table_NFI[[#This Row],[Hygiene Kit]])</f>
        <v>0</v>
      </c>
      <c r="Q251" s="232">
        <f ca="1">IF(NFI_Expiration=1,IF($A251&lt;VLOOKUP(I$5,NFI,5,0),1,0)*Table_NFI[[#This Row],[NFI Core Kit]],Table_NFI[[#This Row],[NFI Core Kit]])</f>
        <v>0</v>
      </c>
      <c r="R251" s="233">
        <f ca="1">IF(NFI_Expiration=1,IF($A251&lt;VLOOKUP(J$5,NFI,5,0),1,0)*Table_NFI[[#This Row],[Sanitary Kit]],Table_NFI[[#This Row],[Sanitary Kit]])</f>
        <v>0</v>
      </c>
      <c r="S251" s="233">
        <f ca="1">IF(NFI_Expiration=1,IF($A251&lt;VLOOKUP(K$5,NFI,5,0),1,0)*Table_NFI[[#This Row],[Mosquitoe net]],Table_NFI[[#This Row],[Mosquitoe net]])</f>
        <v>0</v>
      </c>
      <c r="T251" s="233">
        <f ca="1">IF(NFI_Expiration=1,IF($A251&lt;VLOOKUP(L$5,NFI,5,0),1,0)*Table_NFI[[#This Row],[Tarpaulin]],Table_NFI[[#This Row],[Tarpaulin]])</f>
        <v>0</v>
      </c>
      <c r="U251" s="233">
        <f ca="1">IF(NFI_Expiration=1,IF($A251&lt;VLOOKUP(M$5,NFI,5,0),1,0)*Table_NFI[[#This Row],[Blanket]],Table_NFI[[#This Row],[Blanket]])</f>
        <v>0</v>
      </c>
      <c r="V251" s="233">
        <f ca="1">IF(NFI_Expiration=1,IF($A251&lt;VLOOKUP(N$5,NFI,5,0),1,0)*Table_NFI[[#This Row],[Kitchen Set]],Table_NFI[[#This Row],[Kitchen Set]])</f>
        <v>0</v>
      </c>
      <c r="W251" s="233">
        <f ca="1">IF(NFI_Expiration=1,IF($A251&lt;VLOOKUP(O$5,NFI,5,0),1,0)*Table_NFI[[#This Row],[Complementary Kit]],Table_NFI[[#This Row],[Complementary Kit]])</f>
        <v>0</v>
      </c>
    </row>
    <row r="252" spans="1:23" ht="15">
      <c r="A252" s="125">
        <f ca="1" t="shared" si="4"/>
        <v>13.566666666666666</v>
      </c>
      <c r="B252" s="256">
        <v>41275</v>
      </c>
      <c r="C252" s="228" t="s">
        <v>1250</v>
      </c>
      <c r="D252" s="229" t="s">
        <v>1250</v>
      </c>
      <c r="E252" s="228" t="s">
        <v>434</v>
      </c>
      <c r="F252" s="187" t="s">
        <v>460</v>
      </c>
      <c r="G252" s="165" t="s">
        <v>523</v>
      </c>
      <c r="H252" s="165">
        <v>220</v>
      </c>
      <c r="I252" s="230"/>
      <c r="J252" s="230"/>
      <c r="K252" s="230"/>
      <c r="L252" s="230"/>
      <c r="M252" s="231"/>
      <c r="N252" s="230"/>
      <c r="O252" s="230"/>
      <c r="P252" s="232">
        <f ca="1">IF(NFI_Expiration=1,IF($A252&lt;VLOOKUP(H$5,NFI,5,0),1,0)*Table_NFI[[#This Row],[Hygiene Kit]],Table_NFI[[#This Row],[Hygiene Kit]])</f>
        <v>0</v>
      </c>
      <c r="Q252" s="232">
        <f ca="1">IF(NFI_Expiration=1,IF($A252&lt;VLOOKUP(I$5,NFI,5,0),1,0)*Table_NFI[[#This Row],[NFI Core Kit]],Table_NFI[[#This Row],[NFI Core Kit]])</f>
        <v>0</v>
      </c>
      <c r="R252" s="233">
        <f ca="1">IF(NFI_Expiration=1,IF($A252&lt;VLOOKUP(J$5,NFI,5,0),1,0)*Table_NFI[[#This Row],[Sanitary Kit]],Table_NFI[[#This Row],[Sanitary Kit]])</f>
        <v>0</v>
      </c>
      <c r="S252" s="233">
        <f ca="1">IF(NFI_Expiration=1,IF($A252&lt;VLOOKUP(K$5,NFI,5,0),1,0)*Table_NFI[[#This Row],[Mosquitoe net]],Table_NFI[[#This Row],[Mosquitoe net]])</f>
        <v>0</v>
      </c>
      <c r="T252" s="233">
        <f ca="1">IF(NFI_Expiration=1,IF($A252&lt;VLOOKUP(L$5,NFI,5,0),1,0)*Table_NFI[[#This Row],[Tarpaulin]],Table_NFI[[#This Row],[Tarpaulin]])</f>
        <v>0</v>
      </c>
      <c r="U252" s="233">
        <f ca="1">IF(NFI_Expiration=1,IF($A252&lt;VLOOKUP(M$5,NFI,5,0),1,0)*Table_NFI[[#This Row],[Blanket]],Table_NFI[[#This Row],[Blanket]])</f>
        <v>0</v>
      </c>
      <c r="V252" s="233">
        <f ca="1">IF(NFI_Expiration=1,IF($A252&lt;VLOOKUP(N$5,NFI,5,0),1,0)*Table_NFI[[#This Row],[Kitchen Set]],Table_NFI[[#This Row],[Kitchen Set]])</f>
        <v>0</v>
      </c>
      <c r="W252" s="233">
        <f ca="1">IF(NFI_Expiration=1,IF($A252&lt;VLOOKUP(O$5,NFI,5,0),1,0)*Table_NFI[[#This Row],[Complementary Kit]],Table_NFI[[#This Row],[Complementary Kit]])</f>
        <v>0</v>
      </c>
    </row>
    <row r="253" spans="1:23" ht="15">
      <c r="A253" s="125">
        <f ca="1" t="shared" si="4"/>
        <v>13.566666666666666</v>
      </c>
      <c r="B253" s="256">
        <v>41275</v>
      </c>
      <c r="C253" s="228" t="s">
        <v>1251</v>
      </c>
      <c r="D253" s="229" t="s">
        <v>967</v>
      </c>
      <c r="E253" s="228" t="s">
        <v>434</v>
      </c>
      <c r="F253" s="187" t="s">
        <v>460</v>
      </c>
      <c r="G253" s="165" t="s">
        <v>523</v>
      </c>
      <c r="H253" s="165">
        <v>220</v>
      </c>
      <c r="I253" s="230"/>
      <c r="J253" s="230"/>
      <c r="K253" s="230"/>
      <c r="L253" s="230"/>
      <c r="M253" s="231"/>
      <c r="N253" s="230"/>
      <c r="O253" s="230"/>
      <c r="P253" s="232">
        <f ca="1">IF(NFI_Expiration=1,IF($A253&lt;VLOOKUP(H$5,NFI,5,0),1,0)*Table_NFI[[#This Row],[Hygiene Kit]],Table_NFI[[#This Row],[Hygiene Kit]])</f>
        <v>0</v>
      </c>
      <c r="Q253" s="232">
        <f ca="1">IF(NFI_Expiration=1,IF($A253&lt;VLOOKUP(I$5,NFI,5,0),1,0)*Table_NFI[[#This Row],[NFI Core Kit]],Table_NFI[[#This Row],[NFI Core Kit]])</f>
        <v>0</v>
      </c>
      <c r="R253" s="233">
        <f ca="1">IF(NFI_Expiration=1,IF($A253&lt;VLOOKUP(J$5,NFI,5,0),1,0)*Table_NFI[[#This Row],[Sanitary Kit]],Table_NFI[[#This Row],[Sanitary Kit]])</f>
        <v>0</v>
      </c>
      <c r="S253" s="233">
        <f ca="1">IF(NFI_Expiration=1,IF($A253&lt;VLOOKUP(K$5,NFI,5,0),1,0)*Table_NFI[[#This Row],[Mosquitoe net]],Table_NFI[[#This Row],[Mosquitoe net]])</f>
        <v>0</v>
      </c>
      <c r="T253" s="233">
        <f ca="1">IF(NFI_Expiration=1,IF($A253&lt;VLOOKUP(L$5,NFI,5,0),1,0)*Table_NFI[[#This Row],[Tarpaulin]],Table_NFI[[#This Row],[Tarpaulin]])</f>
        <v>0</v>
      </c>
      <c r="U253" s="233">
        <f ca="1">IF(NFI_Expiration=1,IF($A253&lt;VLOOKUP(M$5,NFI,5,0),1,0)*Table_NFI[[#This Row],[Blanket]],Table_NFI[[#This Row],[Blanket]])</f>
        <v>0</v>
      </c>
      <c r="V253" s="233">
        <f ca="1">IF(NFI_Expiration=1,IF($A253&lt;VLOOKUP(N$5,NFI,5,0),1,0)*Table_NFI[[#This Row],[Kitchen Set]],Table_NFI[[#This Row],[Kitchen Set]])</f>
        <v>0</v>
      </c>
      <c r="W253" s="233">
        <f ca="1">IF(NFI_Expiration=1,IF($A253&lt;VLOOKUP(O$5,NFI,5,0),1,0)*Table_NFI[[#This Row],[Complementary Kit]],Table_NFI[[#This Row],[Complementary Kit]])</f>
        <v>0</v>
      </c>
    </row>
    <row r="254" spans="1:23" ht="15">
      <c r="A254" s="125">
        <f ca="1" t="shared" si="4"/>
        <v>13.566666666666666</v>
      </c>
      <c r="B254" s="256">
        <v>41275</v>
      </c>
      <c r="C254" s="228" t="s">
        <v>1252</v>
      </c>
      <c r="D254" s="229" t="s">
        <v>1252</v>
      </c>
      <c r="E254" s="228" t="s">
        <v>434</v>
      </c>
      <c r="F254" s="187" t="s">
        <v>460</v>
      </c>
      <c r="G254" s="165" t="s">
        <v>506</v>
      </c>
      <c r="H254" s="165">
        <v>20</v>
      </c>
      <c r="I254" s="230"/>
      <c r="J254" s="230"/>
      <c r="K254" s="230"/>
      <c r="L254" s="230"/>
      <c r="M254" s="231"/>
      <c r="N254" s="230"/>
      <c r="O254" s="230"/>
      <c r="P254" s="232">
        <f ca="1">IF(NFI_Expiration=1,IF($A254&lt;VLOOKUP(H$5,NFI,5,0),1,0)*Table_NFI[[#This Row],[Hygiene Kit]],Table_NFI[[#This Row],[Hygiene Kit]])</f>
        <v>0</v>
      </c>
      <c r="Q254" s="232">
        <f ca="1">IF(NFI_Expiration=1,IF($A254&lt;VLOOKUP(I$5,NFI,5,0),1,0)*Table_NFI[[#This Row],[NFI Core Kit]],Table_NFI[[#This Row],[NFI Core Kit]])</f>
        <v>0</v>
      </c>
      <c r="R254" s="233">
        <f ca="1">IF(NFI_Expiration=1,IF($A254&lt;VLOOKUP(J$5,NFI,5,0),1,0)*Table_NFI[[#This Row],[Sanitary Kit]],Table_NFI[[#This Row],[Sanitary Kit]])</f>
        <v>0</v>
      </c>
      <c r="S254" s="233">
        <f ca="1">IF(NFI_Expiration=1,IF($A254&lt;VLOOKUP(K$5,NFI,5,0),1,0)*Table_NFI[[#This Row],[Mosquitoe net]],Table_NFI[[#This Row],[Mosquitoe net]])</f>
        <v>0</v>
      </c>
      <c r="T254" s="233">
        <f ca="1">IF(NFI_Expiration=1,IF($A254&lt;VLOOKUP(L$5,NFI,5,0),1,0)*Table_NFI[[#This Row],[Tarpaulin]],Table_NFI[[#This Row],[Tarpaulin]])</f>
        <v>0</v>
      </c>
      <c r="U254" s="233">
        <f ca="1">IF(NFI_Expiration=1,IF($A254&lt;VLOOKUP(M$5,NFI,5,0),1,0)*Table_NFI[[#This Row],[Blanket]],Table_NFI[[#This Row],[Blanket]])</f>
        <v>0</v>
      </c>
      <c r="V254" s="233">
        <f ca="1">IF(NFI_Expiration=1,IF($A254&lt;VLOOKUP(N$5,NFI,5,0),1,0)*Table_NFI[[#This Row],[Kitchen Set]],Table_NFI[[#This Row],[Kitchen Set]])</f>
        <v>0</v>
      </c>
      <c r="W254" s="233">
        <f ca="1">IF(NFI_Expiration=1,IF($A254&lt;VLOOKUP(O$5,NFI,5,0),1,0)*Table_NFI[[#This Row],[Complementary Kit]],Table_NFI[[#This Row],[Complementary Kit]])</f>
        <v>0</v>
      </c>
    </row>
    <row r="255" spans="1:23" ht="15">
      <c r="A255" s="125">
        <f ca="1" t="shared" si="4"/>
        <v>13.566666666666666</v>
      </c>
      <c r="B255" s="256">
        <v>41275</v>
      </c>
      <c r="C255" s="228" t="s">
        <v>1251</v>
      </c>
      <c r="D255" s="229" t="s">
        <v>967</v>
      </c>
      <c r="E255" s="228" t="s">
        <v>434</v>
      </c>
      <c r="F255" s="187" t="s">
        <v>460</v>
      </c>
      <c r="G255" s="165" t="s">
        <v>508</v>
      </c>
      <c r="H255" s="165">
        <v>3758</v>
      </c>
      <c r="I255" s="230"/>
      <c r="J255" s="230"/>
      <c r="K255" s="230"/>
      <c r="L255" s="230"/>
      <c r="M255" s="231"/>
      <c r="N255" s="230"/>
      <c r="O255" s="230"/>
      <c r="P255" s="232">
        <f ca="1">IF(NFI_Expiration=1,IF($A255&lt;VLOOKUP(H$5,NFI,5,0),1,0)*Table_NFI[[#This Row],[Hygiene Kit]],Table_NFI[[#This Row],[Hygiene Kit]])</f>
        <v>0</v>
      </c>
      <c r="Q255" s="232">
        <f ca="1">IF(NFI_Expiration=1,IF($A255&lt;VLOOKUP(I$5,NFI,5,0),1,0)*Table_NFI[[#This Row],[NFI Core Kit]],Table_NFI[[#This Row],[NFI Core Kit]])</f>
        <v>0</v>
      </c>
      <c r="R255" s="233">
        <f ca="1">IF(NFI_Expiration=1,IF($A255&lt;VLOOKUP(J$5,NFI,5,0),1,0)*Table_NFI[[#This Row],[Sanitary Kit]],Table_NFI[[#This Row],[Sanitary Kit]])</f>
        <v>0</v>
      </c>
      <c r="S255" s="233">
        <f ca="1">IF(NFI_Expiration=1,IF($A255&lt;VLOOKUP(K$5,NFI,5,0),1,0)*Table_NFI[[#This Row],[Mosquitoe net]],Table_NFI[[#This Row],[Mosquitoe net]])</f>
        <v>0</v>
      </c>
      <c r="T255" s="233">
        <f ca="1">IF(NFI_Expiration=1,IF($A255&lt;VLOOKUP(L$5,NFI,5,0),1,0)*Table_NFI[[#This Row],[Tarpaulin]],Table_NFI[[#This Row],[Tarpaulin]])</f>
        <v>0</v>
      </c>
      <c r="U255" s="233">
        <f ca="1">IF(NFI_Expiration=1,IF($A255&lt;VLOOKUP(M$5,NFI,5,0),1,0)*Table_NFI[[#This Row],[Blanket]],Table_NFI[[#This Row],[Blanket]])</f>
        <v>0</v>
      </c>
      <c r="V255" s="233">
        <f ca="1">IF(NFI_Expiration=1,IF($A255&lt;VLOOKUP(N$5,NFI,5,0),1,0)*Table_NFI[[#This Row],[Kitchen Set]],Table_NFI[[#This Row],[Kitchen Set]])</f>
        <v>0</v>
      </c>
      <c r="W255" s="233">
        <f ca="1">IF(NFI_Expiration=1,IF($A255&lt;VLOOKUP(O$5,NFI,5,0),1,0)*Table_NFI[[#This Row],[Complementary Kit]],Table_NFI[[#This Row],[Complementary Kit]])</f>
        <v>0</v>
      </c>
    </row>
    <row r="256" spans="1:23" ht="15">
      <c r="A256" s="125">
        <f ca="1" t="shared" si="4"/>
        <v>13.566666666666666</v>
      </c>
      <c r="B256" s="256">
        <v>41275</v>
      </c>
      <c r="C256" s="228" t="s">
        <v>1252</v>
      </c>
      <c r="D256" s="229" t="s">
        <v>1252</v>
      </c>
      <c r="E256" s="228" t="s">
        <v>434</v>
      </c>
      <c r="F256" s="187" t="s">
        <v>460</v>
      </c>
      <c r="G256" s="165" t="s">
        <v>509</v>
      </c>
      <c r="H256" s="165">
        <v>722</v>
      </c>
      <c r="I256" s="230"/>
      <c r="J256" s="230"/>
      <c r="K256" s="230"/>
      <c r="L256" s="230"/>
      <c r="M256" s="231"/>
      <c r="N256" s="230"/>
      <c r="O256" s="230"/>
      <c r="P256" s="232">
        <f ca="1">IF(NFI_Expiration=1,IF($A256&lt;VLOOKUP(H$5,NFI,5,0),1,0)*Table_NFI[[#This Row],[Hygiene Kit]],Table_NFI[[#This Row],[Hygiene Kit]])</f>
        <v>0</v>
      </c>
      <c r="Q256" s="232">
        <f ca="1">IF(NFI_Expiration=1,IF($A256&lt;VLOOKUP(I$5,NFI,5,0),1,0)*Table_NFI[[#This Row],[NFI Core Kit]],Table_NFI[[#This Row],[NFI Core Kit]])</f>
        <v>0</v>
      </c>
      <c r="R256" s="233">
        <f ca="1">IF(NFI_Expiration=1,IF($A256&lt;VLOOKUP(J$5,NFI,5,0),1,0)*Table_NFI[[#This Row],[Sanitary Kit]],Table_NFI[[#This Row],[Sanitary Kit]])</f>
        <v>0</v>
      </c>
      <c r="S256" s="233">
        <f ca="1">IF(NFI_Expiration=1,IF($A256&lt;VLOOKUP(K$5,NFI,5,0),1,0)*Table_NFI[[#This Row],[Mosquitoe net]],Table_NFI[[#This Row],[Mosquitoe net]])</f>
        <v>0</v>
      </c>
      <c r="T256" s="233">
        <f ca="1">IF(NFI_Expiration=1,IF($A256&lt;VLOOKUP(L$5,NFI,5,0),1,0)*Table_NFI[[#This Row],[Tarpaulin]],Table_NFI[[#This Row],[Tarpaulin]])</f>
        <v>0</v>
      </c>
      <c r="U256" s="233">
        <f ca="1">IF(NFI_Expiration=1,IF($A256&lt;VLOOKUP(M$5,NFI,5,0),1,0)*Table_NFI[[#This Row],[Blanket]],Table_NFI[[#This Row],[Blanket]])</f>
        <v>0</v>
      </c>
      <c r="V256" s="233">
        <f ca="1">IF(NFI_Expiration=1,IF($A256&lt;VLOOKUP(N$5,NFI,5,0),1,0)*Table_NFI[[#This Row],[Kitchen Set]],Table_NFI[[#This Row],[Kitchen Set]])</f>
        <v>0</v>
      </c>
      <c r="W256" s="233">
        <f ca="1">IF(NFI_Expiration=1,IF($A256&lt;VLOOKUP(O$5,NFI,5,0),1,0)*Table_NFI[[#This Row],[Complementary Kit]],Table_NFI[[#This Row],[Complementary Kit]])</f>
        <v>0</v>
      </c>
    </row>
    <row r="257" spans="1:23" ht="15">
      <c r="A257" s="125">
        <f ca="1" t="shared" si="4"/>
        <v>13.566666666666666</v>
      </c>
      <c r="B257" s="256">
        <v>41275</v>
      </c>
      <c r="C257" s="228" t="s">
        <v>1251</v>
      </c>
      <c r="D257" s="229" t="s">
        <v>967</v>
      </c>
      <c r="E257" s="228" t="s">
        <v>434</v>
      </c>
      <c r="F257" s="187" t="s">
        <v>460</v>
      </c>
      <c r="G257" s="165" t="s">
        <v>507</v>
      </c>
      <c r="H257" s="165">
        <v>4390</v>
      </c>
      <c r="I257" s="230"/>
      <c r="J257" s="230"/>
      <c r="K257" s="230"/>
      <c r="L257" s="230"/>
      <c r="M257" s="231"/>
      <c r="N257" s="230"/>
      <c r="O257" s="230"/>
      <c r="P257" s="232">
        <f ca="1">IF(NFI_Expiration=1,IF($A257&lt;VLOOKUP(H$5,NFI,5,0),1,0)*Table_NFI[[#This Row],[Hygiene Kit]],Table_NFI[[#This Row],[Hygiene Kit]])</f>
        <v>0</v>
      </c>
      <c r="Q257" s="232">
        <f ca="1">IF(NFI_Expiration=1,IF($A257&lt;VLOOKUP(I$5,NFI,5,0),1,0)*Table_NFI[[#This Row],[NFI Core Kit]],Table_NFI[[#This Row],[NFI Core Kit]])</f>
        <v>0</v>
      </c>
      <c r="R257" s="233">
        <f ca="1">IF(NFI_Expiration=1,IF($A257&lt;VLOOKUP(J$5,NFI,5,0),1,0)*Table_NFI[[#This Row],[Sanitary Kit]],Table_NFI[[#This Row],[Sanitary Kit]])</f>
        <v>0</v>
      </c>
      <c r="S257" s="233">
        <f ca="1">IF(NFI_Expiration=1,IF($A257&lt;VLOOKUP(K$5,NFI,5,0),1,0)*Table_NFI[[#This Row],[Mosquitoe net]],Table_NFI[[#This Row],[Mosquitoe net]])</f>
        <v>0</v>
      </c>
      <c r="T257" s="233">
        <f ca="1">IF(NFI_Expiration=1,IF($A257&lt;VLOOKUP(L$5,NFI,5,0),1,0)*Table_NFI[[#This Row],[Tarpaulin]],Table_NFI[[#This Row],[Tarpaulin]])</f>
        <v>0</v>
      </c>
      <c r="U257" s="233">
        <f ca="1">IF(NFI_Expiration=1,IF($A257&lt;VLOOKUP(M$5,NFI,5,0),1,0)*Table_NFI[[#This Row],[Blanket]],Table_NFI[[#This Row],[Blanket]])</f>
        <v>0</v>
      </c>
      <c r="V257" s="233">
        <f ca="1">IF(NFI_Expiration=1,IF($A257&lt;VLOOKUP(N$5,NFI,5,0),1,0)*Table_NFI[[#This Row],[Kitchen Set]],Table_NFI[[#This Row],[Kitchen Set]])</f>
        <v>0</v>
      </c>
      <c r="W257" s="233">
        <f ca="1">IF(NFI_Expiration=1,IF($A257&lt;VLOOKUP(O$5,NFI,5,0),1,0)*Table_NFI[[#This Row],[Complementary Kit]],Table_NFI[[#This Row],[Complementary Kit]])</f>
        <v>0</v>
      </c>
    </row>
    <row r="258" spans="1:23" ht="15">
      <c r="A258" s="125">
        <f ca="1" t="shared" si="4"/>
        <v>13.566666666666666</v>
      </c>
      <c r="B258" s="256">
        <v>41275</v>
      </c>
      <c r="C258" s="228" t="s">
        <v>1251</v>
      </c>
      <c r="D258" s="229" t="s">
        <v>967</v>
      </c>
      <c r="E258" s="228" t="s">
        <v>434</v>
      </c>
      <c r="F258" s="187" t="s">
        <v>460</v>
      </c>
      <c r="G258" s="165" t="s">
        <v>513</v>
      </c>
      <c r="H258" s="165">
        <v>2939</v>
      </c>
      <c r="I258" s="230"/>
      <c r="J258" s="230"/>
      <c r="K258" s="230"/>
      <c r="L258" s="230"/>
      <c r="M258" s="231"/>
      <c r="N258" s="230"/>
      <c r="O258" s="230"/>
      <c r="P258" s="232">
        <f ca="1">IF(NFI_Expiration=1,IF($A258&lt;VLOOKUP(H$5,NFI,5,0),1,0)*Table_NFI[[#This Row],[Hygiene Kit]],Table_NFI[[#This Row],[Hygiene Kit]])</f>
        <v>0</v>
      </c>
      <c r="Q258" s="232">
        <f ca="1">IF(NFI_Expiration=1,IF($A258&lt;VLOOKUP(I$5,NFI,5,0),1,0)*Table_NFI[[#This Row],[NFI Core Kit]],Table_NFI[[#This Row],[NFI Core Kit]])</f>
        <v>0</v>
      </c>
      <c r="R258" s="233">
        <f ca="1">IF(NFI_Expiration=1,IF($A258&lt;VLOOKUP(J$5,NFI,5,0),1,0)*Table_NFI[[#This Row],[Sanitary Kit]],Table_NFI[[#This Row],[Sanitary Kit]])</f>
        <v>0</v>
      </c>
      <c r="S258" s="233">
        <f ca="1">IF(NFI_Expiration=1,IF($A258&lt;VLOOKUP(K$5,NFI,5,0),1,0)*Table_NFI[[#This Row],[Mosquitoe net]],Table_NFI[[#This Row],[Mosquitoe net]])</f>
        <v>0</v>
      </c>
      <c r="T258" s="233">
        <f ca="1">IF(NFI_Expiration=1,IF($A258&lt;VLOOKUP(L$5,NFI,5,0),1,0)*Table_NFI[[#This Row],[Tarpaulin]],Table_NFI[[#This Row],[Tarpaulin]])</f>
        <v>0</v>
      </c>
      <c r="U258" s="233">
        <f ca="1">IF(NFI_Expiration=1,IF($A258&lt;VLOOKUP(M$5,NFI,5,0),1,0)*Table_NFI[[#This Row],[Blanket]],Table_NFI[[#This Row],[Blanket]])</f>
        <v>0</v>
      </c>
      <c r="V258" s="233">
        <f ca="1">IF(NFI_Expiration=1,IF($A258&lt;VLOOKUP(N$5,NFI,5,0),1,0)*Table_NFI[[#This Row],[Kitchen Set]],Table_NFI[[#This Row],[Kitchen Set]])</f>
        <v>0</v>
      </c>
      <c r="W258" s="233">
        <f ca="1">IF(NFI_Expiration=1,IF($A258&lt;VLOOKUP(O$5,NFI,5,0),1,0)*Table_NFI[[#This Row],[Complementary Kit]],Table_NFI[[#This Row],[Complementary Kit]])</f>
        <v>0</v>
      </c>
    </row>
    <row r="259" spans="1:6" ht="15">
      <c r="A259" s="125" t="str">
        <f aca="true" t="shared" si="5" ref="A259:A319">IF(ISBLANK(B259),"",(TODAY()-B259)/30)</f>
        <v/>
      </c>
      <c r="F259" s="3"/>
    </row>
    <row r="260" spans="1:6" ht="15">
      <c r="A260" s="125" t="str">
        <f ca="1" t="shared" si="5"/>
        <v/>
      </c>
      <c r="F260" s="3"/>
    </row>
    <row r="261" spans="1:6" ht="15">
      <c r="A261" s="125" t="str">
        <f ca="1" t="shared" si="5"/>
        <v/>
      </c>
      <c r="F261" s="3"/>
    </row>
    <row r="262" spans="1:6" ht="15">
      <c r="A262" s="125" t="str">
        <f ca="1" t="shared" si="5"/>
        <v/>
      </c>
      <c r="F262" s="3"/>
    </row>
    <row r="263" spans="1:6" ht="15">
      <c r="A263" s="125" t="str">
        <f ca="1" t="shared" si="5"/>
        <v/>
      </c>
      <c r="F263" s="3"/>
    </row>
    <row r="264" spans="1:6" ht="15">
      <c r="A264" s="125" t="str">
        <f ca="1" t="shared" si="5"/>
        <v/>
      </c>
      <c r="F264" s="3"/>
    </row>
    <row r="265" spans="1:6" ht="15">
      <c r="A265" s="125" t="str">
        <f ca="1" t="shared" si="5"/>
        <v/>
      </c>
      <c r="F265" s="3"/>
    </row>
    <row r="266" spans="1:6" ht="15">
      <c r="A266" s="125" t="str">
        <f ca="1" t="shared" si="5"/>
        <v/>
      </c>
      <c r="F266" s="3"/>
    </row>
    <row r="267" spans="1:6" ht="15">
      <c r="A267" s="125" t="str">
        <f ca="1" t="shared" si="5"/>
        <v/>
      </c>
      <c r="F267" s="3"/>
    </row>
    <row r="268" spans="1:6" ht="15">
      <c r="A268" s="125" t="str">
        <f ca="1" t="shared" si="5"/>
        <v/>
      </c>
      <c r="F268" s="3"/>
    </row>
    <row r="269" spans="1:6" ht="15">
      <c r="A269" s="125" t="str">
        <f ca="1" t="shared" si="5"/>
        <v/>
      </c>
      <c r="F269" s="3"/>
    </row>
    <row r="270" spans="1:6" ht="15">
      <c r="A270" s="125" t="str">
        <f ca="1" t="shared" si="5"/>
        <v/>
      </c>
      <c r="F270" s="3"/>
    </row>
    <row r="271" spans="1:6" ht="15">
      <c r="A271" s="125" t="str">
        <f ca="1" t="shared" si="5"/>
        <v/>
      </c>
      <c r="F271" s="3"/>
    </row>
    <row r="272" spans="1:6" ht="15">
      <c r="A272" s="125" t="str">
        <f ca="1" t="shared" si="5"/>
        <v/>
      </c>
      <c r="F272" s="3"/>
    </row>
    <row r="273" spans="1:6" ht="15">
      <c r="A273" s="125" t="str">
        <f ca="1" t="shared" si="5"/>
        <v/>
      </c>
      <c r="F273" s="3"/>
    </row>
    <row r="274" spans="1:6" ht="15">
      <c r="A274" s="125" t="str">
        <f ca="1" t="shared" si="5"/>
        <v/>
      </c>
      <c r="F274" s="3"/>
    </row>
    <row r="275" spans="1:6" ht="15">
      <c r="A275" s="125" t="str">
        <f ca="1" t="shared" si="5"/>
        <v/>
      </c>
      <c r="F275" s="3"/>
    </row>
    <row r="276" spans="1:6" ht="15">
      <c r="A276" s="125" t="str">
        <f ca="1" t="shared" si="5"/>
        <v/>
      </c>
      <c r="F276" s="3"/>
    </row>
    <row r="277" spans="1:6" ht="15">
      <c r="A277" s="125" t="str">
        <f ca="1" t="shared" si="5"/>
        <v/>
      </c>
      <c r="F277" s="3"/>
    </row>
    <row r="278" spans="1:6" ht="15">
      <c r="A278" s="125" t="str">
        <f ca="1" t="shared" si="5"/>
        <v/>
      </c>
      <c r="F278" s="3"/>
    </row>
    <row r="279" spans="1:6" ht="15">
      <c r="A279" s="125" t="str">
        <f ca="1" t="shared" si="5"/>
        <v/>
      </c>
      <c r="F279" s="3"/>
    </row>
    <row r="280" spans="1:6" ht="15">
      <c r="A280" s="125" t="str">
        <f ca="1" t="shared" si="5"/>
        <v/>
      </c>
      <c r="F280" s="3"/>
    </row>
    <row r="281" spans="1:6" ht="15">
      <c r="A281" s="125" t="str">
        <f ca="1" t="shared" si="5"/>
        <v/>
      </c>
      <c r="F281" s="3"/>
    </row>
    <row r="282" spans="1:6" ht="15">
      <c r="A282" s="125" t="str">
        <f ca="1" t="shared" si="5"/>
        <v/>
      </c>
      <c r="F282" s="3"/>
    </row>
    <row r="283" spans="1:6" ht="15">
      <c r="A283" s="125" t="str">
        <f ca="1" t="shared" si="5"/>
        <v/>
      </c>
      <c r="F283" s="3"/>
    </row>
    <row r="284" spans="1:6" ht="15">
      <c r="A284" s="125" t="str">
        <f ca="1" t="shared" si="5"/>
        <v/>
      </c>
      <c r="F284" s="3"/>
    </row>
    <row r="285" spans="1:6" ht="15">
      <c r="A285" s="125" t="str">
        <f ca="1" t="shared" si="5"/>
        <v/>
      </c>
      <c r="F285" s="3"/>
    </row>
    <row r="286" spans="1:6" ht="15">
      <c r="A286" s="125" t="str">
        <f ca="1" t="shared" si="5"/>
        <v/>
      </c>
      <c r="F286" s="3"/>
    </row>
    <row r="287" spans="1:6" ht="15">
      <c r="A287" s="125" t="str">
        <f ca="1" t="shared" si="5"/>
        <v/>
      </c>
      <c r="F287" s="3"/>
    </row>
    <row r="288" spans="1:6" ht="15">
      <c r="A288" s="125" t="str">
        <f ca="1" t="shared" si="5"/>
        <v/>
      </c>
      <c r="F288" s="3"/>
    </row>
    <row r="289" spans="1:6" ht="15">
      <c r="A289" s="125" t="str">
        <f ca="1" t="shared" si="5"/>
        <v/>
      </c>
      <c r="F289" s="3"/>
    </row>
    <row r="290" spans="1:6" ht="15">
      <c r="A290" s="125" t="str">
        <f ca="1" t="shared" si="5"/>
        <v/>
      </c>
      <c r="F290" s="3"/>
    </row>
    <row r="291" spans="1:6" ht="15">
      <c r="A291" s="125" t="str">
        <f ca="1" t="shared" si="5"/>
        <v/>
      </c>
      <c r="F291" s="3"/>
    </row>
    <row r="292" spans="1:6" ht="15">
      <c r="A292" s="125" t="str">
        <f ca="1" t="shared" si="5"/>
        <v/>
      </c>
      <c r="F292" s="3"/>
    </row>
    <row r="293" spans="1:6" ht="15">
      <c r="A293" s="125" t="str">
        <f ca="1" t="shared" si="5"/>
        <v/>
      </c>
      <c r="F293" s="3"/>
    </row>
    <row r="294" spans="1:6" ht="15">
      <c r="A294" s="125" t="str">
        <f ca="1" t="shared" si="5"/>
        <v/>
      </c>
      <c r="F294" s="3"/>
    </row>
    <row r="295" spans="1:6" ht="15">
      <c r="A295" s="125" t="str">
        <f ca="1" t="shared" si="5"/>
        <v/>
      </c>
      <c r="F295" s="3"/>
    </row>
    <row r="296" spans="1:6" ht="15">
      <c r="A296" s="125" t="str">
        <f ca="1" t="shared" si="5"/>
        <v/>
      </c>
      <c r="F296" s="3"/>
    </row>
    <row r="297" spans="1:6" ht="15">
      <c r="A297" s="125" t="str">
        <f ca="1" t="shared" si="5"/>
        <v/>
      </c>
      <c r="F297" s="3"/>
    </row>
    <row r="298" spans="1:6" ht="15">
      <c r="A298" s="125" t="str">
        <f ca="1" t="shared" si="5"/>
        <v/>
      </c>
      <c r="F298" s="3"/>
    </row>
    <row r="299" spans="1:6" ht="15">
      <c r="A299" s="125" t="str">
        <f ca="1" t="shared" si="5"/>
        <v/>
      </c>
      <c r="F299" s="3"/>
    </row>
    <row r="300" spans="1:6" ht="15">
      <c r="A300" s="125" t="str">
        <f ca="1" t="shared" si="5"/>
        <v/>
      </c>
      <c r="F300" s="3"/>
    </row>
    <row r="301" spans="1:6" ht="15">
      <c r="A301" s="125" t="str">
        <f ca="1" t="shared" si="5"/>
        <v/>
      </c>
      <c r="F301" s="3"/>
    </row>
    <row r="302" spans="1:6" ht="15">
      <c r="A302" s="125" t="str">
        <f ca="1" t="shared" si="5"/>
        <v/>
      </c>
      <c r="F302" s="3"/>
    </row>
    <row r="303" spans="1:6" ht="15">
      <c r="A303" s="125" t="str">
        <f ca="1" t="shared" si="5"/>
        <v/>
      </c>
      <c r="F303" s="3"/>
    </row>
    <row r="304" spans="1:6" ht="15">
      <c r="A304" s="125" t="str">
        <f ca="1" t="shared" si="5"/>
        <v/>
      </c>
      <c r="F304" s="3"/>
    </row>
    <row r="305" spans="1:6" ht="15">
      <c r="A305" s="125" t="str">
        <f ca="1" t="shared" si="5"/>
        <v/>
      </c>
      <c r="F305" s="3"/>
    </row>
    <row r="306" spans="1:6" ht="15">
      <c r="A306" s="125" t="str">
        <f ca="1" t="shared" si="5"/>
        <v/>
      </c>
      <c r="F306" s="3"/>
    </row>
    <row r="307" spans="1:6" ht="15">
      <c r="A307" s="125" t="str">
        <f ca="1" t="shared" si="5"/>
        <v/>
      </c>
      <c r="F307" s="3"/>
    </row>
    <row r="308" spans="1:6" ht="15">
      <c r="A308" s="125" t="str">
        <f ca="1" t="shared" si="5"/>
        <v/>
      </c>
      <c r="F308" s="3"/>
    </row>
    <row r="309" spans="1:6" ht="15">
      <c r="A309" s="125" t="str">
        <f ca="1" t="shared" si="5"/>
        <v/>
      </c>
      <c r="F309" s="3"/>
    </row>
    <row r="310" spans="1:6" ht="15">
      <c r="A310" s="125" t="str">
        <f ca="1" t="shared" si="5"/>
        <v/>
      </c>
      <c r="F310" s="3"/>
    </row>
    <row r="311" spans="1:6" ht="15">
      <c r="A311" s="125" t="str">
        <f ca="1" t="shared" si="5"/>
        <v/>
      </c>
      <c r="F311" s="3"/>
    </row>
    <row r="312" spans="1:6" ht="15">
      <c r="A312" s="125" t="str">
        <f ca="1" t="shared" si="5"/>
        <v/>
      </c>
      <c r="F312" s="3"/>
    </row>
    <row r="313" spans="1:6" ht="15">
      <c r="A313" s="125" t="str">
        <f ca="1" t="shared" si="5"/>
        <v/>
      </c>
      <c r="F313" s="3"/>
    </row>
    <row r="314" spans="1:6" ht="15">
      <c r="A314" s="125" t="str">
        <f ca="1" t="shared" si="5"/>
        <v/>
      </c>
      <c r="F314" s="3"/>
    </row>
    <row r="315" spans="1:6" ht="15">
      <c r="A315" s="125" t="str">
        <f ca="1" t="shared" si="5"/>
        <v/>
      </c>
      <c r="F315" s="3"/>
    </row>
    <row r="316" spans="1:6" ht="15">
      <c r="A316" s="125" t="str">
        <f ca="1" t="shared" si="5"/>
        <v/>
      </c>
      <c r="F316" s="3"/>
    </row>
    <row r="317" spans="1:6" ht="15">
      <c r="A317" s="125" t="str">
        <f ca="1" t="shared" si="5"/>
        <v/>
      </c>
      <c r="F317" s="3"/>
    </row>
    <row r="318" spans="1:6" ht="15">
      <c r="A318" s="125" t="str">
        <f ca="1" t="shared" si="5"/>
        <v/>
      </c>
      <c r="F318" s="3"/>
    </row>
    <row r="319" spans="1:6" ht="15">
      <c r="A319" s="125" t="str">
        <f ca="1" t="shared" si="5"/>
        <v/>
      </c>
      <c r="F319" s="3"/>
    </row>
    <row r="320" spans="1:6" ht="15">
      <c r="A320" s="125" t="str">
        <f aca="true" t="shared" si="6" ref="A320:A383">IF(ISBLANK(B320),"",(TODAY()-B320)/30)</f>
        <v/>
      </c>
      <c r="F320" s="3"/>
    </row>
    <row r="321" spans="1:6" ht="15">
      <c r="A321" s="125" t="str">
        <f ca="1" t="shared" si="6"/>
        <v/>
      </c>
      <c r="F321" s="3"/>
    </row>
    <row r="322" spans="1:6" ht="15">
      <c r="A322" s="125" t="str">
        <f ca="1" t="shared" si="6"/>
        <v/>
      </c>
      <c r="F322" s="3"/>
    </row>
    <row r="323" spans="1:6" ht="15">
      <c r="A323" s="125" t="str">
        <f ca="1" t="shared" si="6"/>
        <v/>
      </c>
      <c r="F323" s="3"/>
    </row>
    <row r="324" spans="1:6" ht="15">
      <c r="A324" s="125" t="str">
        <f ca="1" t="shared" si="6"/>
        <v/>
      </c>
      <c r="F324" s="3"/>
    </row>
    <row r="325" spans="1:6" ht="15">
      <c r="A325" s="125" t="str">
        <f ca="1" t="shared" si="6"/>
        <v/>
      </c>
      <c r="F325" s="3"/>
    </row>
    <row r="326" spans="1:6" ht="15">
      <c r="A326" s="125" t="str">
        <f ca="1" t="shared" si="6"/>
        <v/>
      </c>
      <c r="F326" s="3"/>
    </row>
    <row r="327" spans="1:6" ht="15">
      <c r="A327" s="125" t="str">
        <f ca="1" t="shared" si="6"/>
        <v/>
      </c>
      <c r="F327" s="3"/>
    </row>
    <row r="328" spans="1:6" ht="15">
      <c r="A328" s="125" t="str">
        <f ca="1" t="shared" si="6"/>
        <v/>
      </c>
      <c r="F328" s="3"/>
    </row>
    <row r="329" spans="1:6" ht="15">
      <c r="A329" s="125" t="str">
        <f ca="1" t="shared" si="6"/>
        <v/>
      </c>
      <c r="F329" s="3"/>
    </row>
    <row r="330" spans="1:6" ht="15">
      <c r="A330" s="125" t="str">
        <f ca="1" t="shared" si="6"/>
        <v/>
      </c>
      <c r="F330" s="3"/>
    </row>
    <row r="331" spans="1:6" ht="15">
      <c r="A331" s="125" t="str">
        <f ca="1" t="shared" si="6"/>
        <v/>
      </c>
      <c r="F331" s="3"/>
    </row>
    <row r="332" spans="1:6" ht="15">
      <c r="A332" s="125" t="str">
        <f ca="1" t="shared" si="6"/>
        <v/>
      </c>
      <c r="F332" s="3"/>
    </row>
    <row r="333" spans="1:6" ht="15">
      <c r="A333" s="125" t="str">
        <f ca="1" t="shared" si="6"/>
        <v/>
      </c>
      <c r="F333" s="3"/>
    </row>
    <row r="334" spans="1:6" ht="15">
      <c r="A334" s="125" t="str">
        <f ca="1" t="shared" si="6"/>
        <v/>
      </c>
      <c r="F334" s="3"/>
    </row>
    <row r="335" spans="1:6" ht="15">
      <c r="A335" s="125" t="str">
        <f ca="1" t="shared" si="6"/>
        <v/>
      </c>
      <c r="F335" s="3"/>
    </row>
    <row r="336" spans="1:6" ht="15">
      <c r="A336" s="125" t="str">
        <f ca="1" t="shared" si="6"/>
        <v/>
      </c>
      <c r="F336" s="3"/>
    </row>
    <row r="337" spans="1:6" ht="15">
      <c r="A337" s="125" t="str">
        <f ca="1" t="shared" si="6"/>
        <v/>
      </c>
      <c r="F337" s="3"/>
    </row>
    <row r="338" spans="1:6" ht="15">
      <c r="A338" s="125" t="str">
        <f ca="1" t="shared" si="6"/>
        <v/>
      </c>
      <c r="F338" s="3"/>
    </row>
    <row r="339" spans="1:6" ht="15">
      <c r="A339" s="125" t="str">
        <f ca="1" t="shared" si="6"/>
        <v/>
      </c>
      <c r="F339" s="3"/>
    </row>
    <row r="340" spans="1:6" ht="15">
      <c r="A340" s="125" t="str">
        <f ca="1" t="shared" si="6"/>
        <v/>
      </c>
      <c r="F340" s="3"/>
    </row>
    <row r="341" spans="1:6" ht="15">
      <c r="A341" s="125" t="str">
        <f ca="1" t="shared" si="6"/>
        <v/>
      </c>
      <c r="F341" s="3"/>
    </row>
    <row r="342" spans="1:6" ht="15">
      <c r="A342" s="125" t="str">
        <f ca="1" t="shared" si="6"/>
        <v/>
      </c>
      <c r="F342" s="3"/>
    </row>
    <row r="343" spans="1:6" ht="15">
      <c r="A343" s="125" t="str">
        <f ca="1" t="shared" si="6"/>
        <v/>
      </c>
      <c r="F343" s="3"/>
    </row>
    <row r="344" spans="1:6" ht="15">
      <c r="A344" s="125" t="str">
        <f ca="1" t="shared" si="6"/>
        <v/>
      </c>
      <c r="F344" s="3"/>
    </row>
    <row r="345" spans="1:6" ht="15">
      <c r="A345" s="125" t="str">
        <f ca="1" t="shared" si="6"/>
        <v/>
      </c>
      <c r="F345" s="3"/>
    </row>
    <row r="346" spans="1:6" ht="15">
      <c r="A346" s="125" t="str">
        <f ca="1" t="shared" si="6"/>
        <v/>
      </c>
      <c r="F346" s="3"/>
    </row>
    <row r="347" spans="1:6" ht="15">
      <c r="A347" s="125" t="str">
        <f ca="1" t="shared" si="6"/>
        <v/>
      </c>
      <c r="F347" s="3"/>
    </row>
    <row r="348" spans="1:6" ht="15">
      <c r="A348" s="125" t="str">
        <f ca="1" t="shared" si="6"/>
        <v/>
      </c>
      <c r="F348" s="3"/>
    </row>
    <row r="349" spans="1:6" ht="15">
      <c r="A349" s="125" t="str">
        <f ca="1" t="shared" si="6"/>
        <v/>
      </c>
      <c r="F349" s="3"/>
    </row>
    <row r="350" spans="1:6" ht="15">
      <c r="A350" s="125" t="str">
        <f ca="1" t="shared" si="6"/>
        <v/>
      </c>
      <c r="F350" s="3"/>
    </row>
    <row r="351" spans="1:6" ht="15">
      <c r="A351" s="125" t="str">
        <f ca="1" t="shared" si="6"/>
        <v/>
      </c>
      <c r="F351" s="3"/>
    </row>
    <row r="352" spans="1:6" ht="15">
      <c r="A352" s="125" t="str">
        <f ca="1" t="shared" si="6"/>
        <v/>
      </c>
      <c r="F352" s="3"/>
    </row>
    <row r="353" spans="1:6" ht="15">
      <c r="A353" s="125" t="str">
        <f ca="1" t="shared" si="6"/>
        <v/>
      </c>
      <c r="F353" s="3"/>
    </row>
    <row r="354" spans="1:6" ht="15">
      <c r="A354" s="125" t="str">
        <f ca="1" t="shared" si="6"/>
        <v/>
      </c>
      <c r="F354" s="3"/>
    </row>
    <row r="355" spans="1:6" ht="15">
      <c r="A355" s="125" t="str">
        <f ca="1" t="shared" si="6"/>
        <v/>
      </c>
      <c r="F355" s="3"/>
    </row>
    <row r="356" spans="1:6" ht="15">
      <c r="A356" s="125" t="str">
        <f ca="1" t="shared" si="6"/>
        <v/>
      </c>
      <c r="F356" s="3"/>
    </row>
    <row r="357" spans="1:6" ht="15">
      <c r="A357" s="125" t="str">
        <f ca="1" t="shared" si="6"/>
        <v/>
      </c>
      <c r="F357" s="3"/>
    </row>
    <row r="358" spans="1:6" ht="15">
      <c r="A358" s="125" t="str">
        <f ca="1" t="shared" si="6"/>
        <v/>
      </c>
      <c r="F358" s="3"/>
    </row>
    <row r="359" spans="1:6" ht="15">
      <c r="A359" s="125" t="str">
        <f ca="1" t="shared" si="6"/>
        <v/>
      </c>
      <c r="F359" s="3"/>
    </row>
    <row r="360" spans="1:6" ht="15">
      <c r="A360" s="125" t="str">
        <f ca="1" t="shared" si="6"/>
        <v/>
      </c>
      <c r="F360" s="3"/>
    </row>
    <row r="361" spans="1:6" ht="15">
      <c r="A361" s="125" t="str">
        <f ca="1" t="shared" si="6"/>
        <v/>
      </c>
      <c r="F361" s="3"/>
    </row>
    <row r="362" spans="1:6" ht="15">
      <c r="A362" s="125" t="str">
        <f ca="1" t="shared" si="6"/>
        <v/>
      </c>
      <c r="F362" s="3"/>
    </row>
    <row r="363" spans="1:6" ht="15">
      <c r="A363" s="125" t="str">
        <f ca="1" t="shared" si="6"/>
        <v/>
      </c>
      <c r="F363" s="3"/>
    </row>
    <row r="364" spans="1:6" ht="15">
      <c r="A364" s="125" t="str">
        <f ca="1" t="shared" si="6"/>
        <v/>
      </c>
      <c r="F364" s="3"/>
    </row>
    <row r="365" spans="1:6" ht="15">
      <c r="A365" s="125" t="str">
        <f ca="1" t="shared" si="6"/>
        <v/>
      </c>
      <c r="F365" s="3"/>
    </row>
    <row r="366" spans="1:6" ht="15">
      <c r="A366" s="125" t="str">
        <f ca="1" t="shared" si="6"/>
        <v/>
      </c>
      <c r="F366" s="3"/>
    </row>
    <row r="367" spans="1:6" ht="15">
      <c r="A367" s="125" t="str">
        <f ca="1" t="shared" si="6"/>
        <v/>
      </c>
      <c r="F367" s="3"/>
    </row>
    <row r="368" spans="1:6" ht="15">
      <c r="A368" s="125" t="str">
        <f ca="1" t="shared" si="6"/>
        <v/>
      </c>
      <c r="F368" s="3"/>
    </row>
    <row r="369" spans="1:6" ht="15">
      <c r="A369" s="125" t="str">
        <f ca="1" t="shared" si="6"/>
        <v/>
      </c>
      <c r="F369" s="3"/>
    </row>
    <row r="370" spans="1:6" ht="15">
      <c r="A370" s="125" t="str">
        <f ca="1" t="shared" si="6"/>
        <v/>
      </c>
      <c r="F370" s="3"/>
    </row>
    <row r="371" spans="1:6" ht="15">
      <c r="A371" s="125" t="str">
        <f ca="1" t="shared" si="6"/>
        <v/>
      </c>
      <c r="F371" s="3"/>
    </row>
    <row r="372" spans="1:6" ht="15">
      <c r="A372" s="125" t="str">
        <f ca="1" t="shared" si="6"/>
        <v/>
      </c>
      <c r="F372" s="3"/>
    </row>
    <row r="373" spans="1:6" ht="15">
      <c r="A373" s="125" t="str">
        <f ca="1" t="shared" si="6"/>
        <v/>
      </c>
      <c r="F373" s="3"/>
    </row>
    <row r="374" spans="1:6" ht="15">
      <c r="A374" s="125" t="str">
        <f ca="1" t="shared" si="6"/>
        <v/>
      </c>
      <c r="F374" s="3"/>
    </row>
    <row r="375" spans="1:6" ht="15">
      <c r="A375" s="125" t="str">
        <f ca="1" t="shared" si="6"/>
        <v/>
      </c>
      <c r="F375" s="3"/>
    </row>
    <row r="376" spans="1:6" ht="15">
      <c r="A376" s="125" t="str">
        <f ca="1" t="shared" si="6"/>
        <v/>
      </c>
      <c r="F376" s="3"/>
    </row>
    <row r="377" spans="1:6" ht="15">
      <c r="A377" s="125" t="str">
        <f ca="1" t="shared" si="6"/>
        <v/>
      </c>
      <c r="F377" s="3"/>
    </row>
    <row r="378" spans="1:6" ht="15">
      <c r="A378" s="125" t="str">
        <f ca="1" t="shared" si="6"/>
        <v/>
      </c>
      <c r="F378" s="3"/>
    </row>
    <row r="379" spans="1:6" ht="15">
      <c r="A379" s="125" t="str">
        <f ca="1" t="shared" si="6"/>
        <v/>
      </c>
      <c r="F379" s="3"/>
    </row>
    <row r="380" spans="1:6" ht="15">
      <c r="A380" s="125" t="str">
        <f ca="1" t="shared" si="6"/>
        <v/>
      </c>
      <c r="F380" s="3"/>
    </row>
    <row r="381" spans="1:6" ht="15">
      <c r="A381" s="125" t="str">
        <f ca="1" t="shared" si="6"/>
        <v/>
      </c>
      <c r="F381" s="3"/>
    </row>
    <row r="382" spans="1:6" ht="15">
      <c r="A382" s="125" t="str">
        <f ca="1" t="shared" si="6"/>
        <v/>
      </c>
      <c r="F382" s="3"/>
    </row>
    <row r="383" spans="1:6" ht="15">
      <c r="A383" s="125" t="str">
        <f ca="1" t="shared" si="6"/>
        <v/>
      </c>
      <c r="F383" s="3"/>
    </row>
    <row r="384" spans="1:6" ht="15">
      <c r="A384" s="125" t="str">
        <f aca="true" t="shared" si="7" ref="A384:A447">IF(ISBLANK(B384),"",(TODAY()-B384)/30)</f>
        <v/>
      </c>
      <c r="F384" s="3"/>
    </row>
    <row r="385" spans="1:6" ht="15">
      <c r="A385" s="125" t="str">
        <f ca="1" t="shared" si="7"/>
        <v/>
      </c>
      <c r="F385" s="3"/>
    </row>
    <row r="386" spans="1:6" ht="15">
      <c r="A386" s="125" t="str">
        <f ca="1" t="shared" si="7"/>
        <v/>
      </c>
      <c r="F386" s="3"/>
    </row>
    <row r="387" spans="1:6" ht="15">
      <c r="A387" s="125" t="str">
        <f ca="1" t="shared" si="7"/>
        <v/>
      </c>
      <c r="F387" s="3"/>
    </row>
    <row r="388" spans="1:6" ht="15">
      <c r="A388" s="125" t="str">
        <f ca="1" t="shared" si="7"/>
        <v/>
      </c>
      <c r="F388" s="3"/>
    </row>
    <row r="389" spans="1:6" ht="15">
      <c r="A389" s="125" t="str">
        <f ca="1" t="shared" si="7"/>
        <v/>
      </c>
      <c r="F389" s="3"/>
    </row>
    <row r="390" spans="1:6" ht="15">
      <c r="A390" s="125" t="str">
        <f ca="1" t="shared" si="7"/>
        <v/>
      </c>
      <c r="F390" s="3"/>
    </row>
    <row r="391" spans="1:6" ht="15">
      <c r="A391" s="125" t="str">
        <f ca="1" t="shared" si="7"/>
        <v/>
      </c>
      <c r="F391" s="3"/>
    </row>
    <row r="392" spans="1:6" ht="15">
      <c r="A392" s="125" t="str">
        <f ca="1" t="shared" si="7"/>
        <v/>
      </c>
      <c r="F392" s="3"/>
    </row>
    <row r="393" spans="1:6" ht="15">
      <c r="A393" s="125" t="str">
        <f ca="1" t="shared" si="7"/>
        <v/>
      </c>
      <c r="F393" s="3"/>
    </row>
    <row r="394" spans="1:6" ht="15">
      <c r="A394" s="125" t="str">
        <f ca="1" t="shared" si="7"/>
        <v/>
      </c>
      <c r="F394" s="3"/>
    </row>
    <row r="395" spans="1:6" ht="15">
      <c r="A395" s="125" t="str">
        <f ca="1" t="shared" si="7"/>
        <v/>
      </c>
      <c r="F395" s="3"/>
    </row>
    <row r="396" spans="1:6" ht="15">
      <c r="A396" s="125" t="str">
        <f ca="1" t="shared" si="7"/>
        <v/>
      </c>
      <c r="F396" s="3"/>
    </row>
    <row r="397" spans="1:6" ht="15">
      <c r="A397" s="125" t="str">
        <f ca="1" t="shared" si="7"/>
        <v/>
      </c>
      <c r="F397" s="3"/>
    </row>
    <row r="398" spans="1:6" ht="15">
      <c r="A398" s="125" t="str">
        <f ca="1" t="shared" si="7"/>
        <v/>
      </c>
      <c r="F398" s="3"/>
    </row>
    <row r="399" spans="1:6" ht="15">
      <c r="A399" s="125" t="str">
        <f ca="1" t="shared" si="7"/>
        <v/>
      </c>
      <c r="F399" s="3"/>
    </row>
    <row r="400" spans="1:6" ht="15">
      <c r="A400" s="125" t="str">
        <f ca="1" t="shared" si="7"/>
        <v/>
      </c>
      <c r="F400" s="3"/>
    </row>
    <row r="401" spans="1:6" ht="15">
      <c r="A401" s="125" t="str">
        <f ca="1" t="shared" si="7"/>
        <v/>
      </c>
      <c r="F401" s="3"/>
    </row>
    <row r="402" spans="1:6" ht="15">
      <c r="A402" s="125" t="str">
        <f ca="1" t="shared" si="7"/>
        <v/>
      </c>
      <c r="F402" s="3"/>
    </row>
    <row r="403" spans="1:6" ht="15">
      <c r="A403" s="125" t="str">
        <f ca="1" t="shared" si="7"/>
        <v/>
      </c>
      <c r="F403" s="3"/>
    </row>
    <row r="404" spans="1:6" ht="15">
      <c r="A404" s="125" t="str">
        <f ca="1" t="shared" si="7"/>
        <v/>
      </c>
      <c r="F404" s="3"/>
    </row>
    <row r="405" spans="1:6" ht="15">
      <c r="A405" s="125" t="str">
        <f ca="1" t="shared" si="7"/>
        <v/>
      </c>
      <c r="F405" s="3"/>
    </row>
    <row r="406" spans="1:6" ht="15">
      <c r="A406" s="125" t="str">
        <f ca="1" t="shared" si="7"/>
        <v/>
      </c>
      <c r="F406" s="3"/>
    </row>
    <row r="407" spans="1:6" ht="15">
      <c r="A407" s="125" t="str">
        <f ca="1" t="shared" si="7"/>
        <v/>
      </c>
      <c r="F407" s="3"/>
    </row>
    <row r="408" spans="1:6" ht="15">
      <c r="A408" s="125" t="str">
        <f ca="1" t="shared" si="7"/>
        <v/>
      </c>
      <c r="F408" s="3"/>
    </row>
    <row r="409" spans="1:6" ht="15">
      <c r="A409" s="125" t="str">
        <f ca="1" t="shared" si="7"/>
        <v/>
      </c>
      <c r="F409" s="3"/>
    </row>
    <row r="410" spans="1:6" ht="15">
      <c r="A410" s="125" t="str">
        <f ca="1" t="shared" si="7"/>
        <v/>
      </c>
      <c r="F410" s="3"/>
    </row>
    <row r="411" spans="1:6" ht="15">
      <c r="A411" s="125" t="str">
        <f ca="1" t="shared" si="7"/>
        <v/>
      </c>
      <c r="F411" s="3"/>
    </row>
    <row r="412" spans="1:6" ht="15">
      <c r="A412" s="125" t="str">
        <f ca="1" t="shared" si="7"/>
        <v/>
      </c>
      <c r="F412" s="3"/>
    </row>
    <row r="413" spans="1:6" ht="15">
      <c r="A413" s="125" t="str">
        <f ca="1" t="shared" si="7"/>
        <v/>
      </c>
      <c r="F413" s="3"/>
    </row>
    <row r="414" spans="1:6" ht="15">
      <c r="A414" s="125" t="str">
        <f ca="1" t="shared" si="7"/>
        <v/>
      </c>
      <c r="F414" s="3"/>
    </row>
    <row r="415" spans="1:6" ht="15">
      <c r="A415" s="125" t="str">
        <f ca="1" t="shared" si="7"/>
        <v/>
      </c>
      <c r="F415" s="3"/>
    </row>
    <row r="416" spans="1:6" ht="15">
      <c r="A416" s="125" t="str">
        <f ca="1" t="shared" si="7"/>
        <v/>
      </c>
      <c r="F416" s="3"/>
    </row>
    <row r="417" spans="1:6" ht="15">
      <c r="A417" s="125" t="str">
        <f ca="1" t="shared" si="7"/>
        <v/>
      </c>
      <c r="F417" s="3"/>
    </row>
    <row r="418" spans="1:6" ht="15">
      <c r="A418" s="125" t="str">
        <f ca="1" t="shared" si="7"/>
        <v/>
      </c>
      <c r="F418" s="3"/>
    </row>
    <row r="419" spans="1:6" ht="15">
      <c r="A419" s="125" t="str">
        <f ca="1" t="shared" si="7"/>
        <v/>
      </c>
      <c r="F419" s="3"/>
    </row>
    <row r="420" spans="1:6" ht="15">
      <c r="A420" s="125" t="str">
        <f ca="1" t="shared" si="7"/>
        <v/>
      </c>
      <c r="F420" s="3"/>
    </row>
    <row r="421" spans="1:6" ht="15">
      <c r="A421" s="125" t="str">
        <f ca="1" t="shared" si="7"/>
        <v/>
      </c>
      <c r="F421" s="3"/>
    </row>
    <row r="422" spans="1:6" ht="15">
      <c r="A422" s="125" t="str">
        <f ca="1" t="shared" si="7"/>
        <v/>
      </c>
      <c r="F422" s="3"/>
    </row>
    <row r="423" spans="1:6" ht="15">
      <c r="A423" s="125" t="str">
        <f ca="1" t="shared" si="7"/>
        <v/>
      </c>
      <c r="F423" s="3"/>
    </row>
    <row r="424" spans="1:6" ht="15">
      <c r="A424" s="125" t="str">
        <f ca="1" t="shared" si="7"/>
        <v/>
      </c>
      <c r="F424" s="3"/>
    </row>
    <row r="425" spans="1:6" ht="15">
      <c r="A425" s="125" t="str">
        <f ca="1" t="shared" si="7"/>
        <v/>
      </c>
      <c r="F425" s="3"/>
    </row>
    <row r="426" spans="1:6" ht="15">
      <c r="A426" s="125" t="str">
        <f ca="1" t="shared" si="7"/>
        <v/>
      </c>
      <c r="F426" s="3"/>
    </row>
    <row r="427" spans="1:6" ht="15">
      <c r="A427" s="125" t="str">
        <f ca="1" t="shared" si="7"/>
        <v/>
      </c>
      <c r="F427" s="3"/>
    </row>
    <row r="428" spans="1:6" ht="15">
      <c r="A428" s="125" t="str">
        <f ca="1" t="shared" si="7"/>
        <v/>
      </c>
      <c r="F428" s="3"/>
    </row>
    <row r="429" spans="1:6" ht="15">
      <c r="A429" s="125" t="str">
        <f ca="1" t="shared" si="7"/>
        <v/>
      </c>
      <c r="F429" s="3"/>
    </row>
    <row r="430" spans="1:6" ht="15">
      <c r="A430" s="125" t="str">
        <f ca="1" t="shared" si="7"/>
        <v/>
      </c>
      <c r="F430" s="3"/>
    </row>
    <row r="431" spans="1:6" ht="15">
      <c r="A431" s="125" t="str">
        <f ca="1" t="shared" si="7"/>
        <v/>
      </c>
      <c r="F431" s="3"/>
    </row>
    <row r="432" spans="1:6" ht="15">
      <c r="A432" s="125" t="str">
        <f ca="1" t="shared" si="7"/>
        <v/>
      </c>
      <c r="F432" s="3"/>
    </row>
    <row r="433" spans="1:6" ht="15">
      <c r="A433" s="125" t="str">
        <f ca="1" t="shared" si="7"/>
        <v/>
      </c>
      <c r="F433" s="3"/>
    </row>
    <row r="434" spans="1:6" ht="15">
      <c r="A434" s="125" t="str">
        <f ca="1" t="shared" si="7"/>
        <v/>
      </c>
      <c r="F434" s="3"/>
    </row>
    <row r="435" spans="1:6" ht="15">
      <c r="A435" s="125" t="str">
        <f ca="1" t="shared" si="7"/>
        <v/>
      </c>
      <c r="F435" s="3"/>
    </row>
    <row r="436" spans="1:6" ht="15">
      <c r="A436" s="125" t="str">
        <f ca="1" t="shared" si="7"/>
        <v/>
      </c>
      <c r="F436" s="3"/>
    </row>
    <row r="437" spans="1:6" ht="15">
      <c r="A437" s="125" t="str">
        <f ca="1" t="shared" si="7"/>
        <v/>
      </c>
      <c r="F437" s="3"/>
    </row>
    <row r="438" spans="1:6" ht="15">
      <c r="A438" s="125" t="str">
        <f ca="1" t="shared" si="7"/>
        <v/>
      </c>
      <c r="F438" s="3"/>
    </row>
    <row r="439" spans="1:6" ht="15">
      <c r="A439" s="125" t="str">
        <f ca="1" t="shared" si="7"/>
        <v/>
      </c>
      <c r="F439" s="3"/>
    </row>
    <row r="440" spans="1:6" ht="15">
      <c r="A440" s="125" t="str">
        <f ca="1" t="shared" si="7"/>
        <v/>
      </c>
      <c r="F440" s="3"/>
    </row>
    <row r="441" spans="1:6" ht="15">
      <c r="A441" s="125" t="str">
        <f ca="1" t="shared" si="7"/>
        <v/>
      </c>
      <c r="F441" s="3"/>
    </row>
    <row r="442" spans="1:6" ht="15">
      <c r="A442" s="125" t="str">
        <f ca="1" t="shared" si="7"/>
        <v/>
      </c>
      <c r="F442" s="3"/>
    </row>
    <row r="443" spans="1:6" ht="15">
      <c r="A443" s="125" t="str">
        <f ca="1" t="shared" si="7"/>
        <v/>
      </c>
      <c r="F443" s="3"/>
    </row>
    <row r="444" spans="1:6" ht="15">
      <c r="A444" s="125" t="str">
        <f ca="1" t="shared" si="7"/>
        <v/>
      </c>
      <c r="F444" s="3"/>
    </row>
    <row r="445" spans="1:6" ht="15">
      <c r="A445" s="125" t="str">
        <f ca="1" t="shared" si="7"/>
        <v/>
      </c>
      <c r="F445" s="3"/>
    </row>
    <row r="446" spans="1:6" ht="15">
      <c r="A446" s="125" t="str">
        <f ca="1" t="shared" si="7"/>
        <v/>
      </c>
      <c r="F446" s="3"/>
    </row>
    <row r="447" spans="1:6" ht="15">
      <c r="A447" s="125" t="str">
        <f ca="1" t="shared" si="7"/>
        <v/>
      </c>
      <c r="F447" s="3"/>
    </row>
    <row r="448" spans="1:6" ht="15">
      <c r="A448" s="125" t="str">
        <f aca="true" t="shared" si="8" ref="A448:A511">IF(ISBLANK(B448),"",(TODAY()-B448)/30)</f>
        <v/>
      </c>
      <c r="F448" s="3"/>
    </row>
    <row r="449" spans="1:6" ht="15">
      <c r="A449" s="125" t="str">
        <f ca="1" t="shared" si="8"/>
        <v/>
      </c>
      <c r="F449" s="3"/>
    </row>
    <row r="450" spans="1:6" ht="15">
      <c r="A450" s="125" t="str">
        <f ca="1" t="shared" si="8"/>
        <v/>
      </c>
      <c r="F450" s="3"/>
    </row>
    <row r="451" spans="1:6" ht="15">
      <c r="A451" s="125" t="str">
        <f ca="1" t="shared" si="8"/>
        <v/>
      </c>
      <c r="F451" s="3"/>
    </row>
    <row r="452" spans="1:6" ht="15">
      <c r="A452" s="125" t="str">
        <f ca="1" t="shared" si="8"/>
        <v/>
      </c>
      <c r="F452" s="3"/>
    </row>
    <row r="453" spans="1:6" ht="15">
      <c r="A453" s="125" t="str">
        <f ca="1" t="shared" si="8"/>
        <v/>
      </c>
      <c r="F453" s="3"/>
    </row>
    <row r="454" spans="1:6" ht="15">
      <c r="A454" s="125" t="str">
        <f ca="1" t="shared" si="8"/>
        <v/>
      </c>
      <c r="F454" s="3"/>
    </row>
    <row r="455" spans="1:6" ht="15">
      <c r="A455" s="125" t="str">
        <f ca="1" t="shared" si="8"/>
        <v/>
      </c>
      <c r="F455" s="3"/>
    </row>
    <row r="456" spans="1:6" ht="15">
      <c r="A456" s="125" t="str">
        <f ca="1" t="shared" si="8"/>
        <v/>
      </c>
      <c r="F456" s="3"/>
    </row>
    <row r="457" spans="1:6" ht="15">
      <c r="A457" s="125" t="str">
        <f ca="1" t="shared" si="8"/>
        <v/>
      </c>
      <c r="F457" s="3"/>
    </row>
    <row r="458" spans="1:6" ht="15">
      <c r="A458" s="125" t="str">
        <f ca="1" t="shared" si="8"/>
        <v/>
      </c>
      <c r="F458" s="3"/>
    </row>
    <row r="459" spans="1:6" ht="15">
      <c r="A459" s="125" t="str">
        <f ca="1" t="shared" si="8"/>
        <v/>
      </c>
      <c r="F459" s="3"/>
    </row>
    <row r="460" spans="1:6" ht="15">
      <c r="A460" s="125" t="str">
        <f ca="1" t="shared" si="8"/>
        <v/>
      </c>
      <c r="F460" s="3"/>
    </row>
    <row r="461" spans="1:6" ht="15">
      <c r="A461" s="125" t="str">
        <f ca="1" t="shared" si="8"/>
        <v/>
      </c>
      <c r="F461" s="3"/>
    </row>
    <row r="462" spans="1:6" ht="15">
      <c r="A462" s="125" t="str">
        <f ca="1" t="shared" si="8"/>
        <v/>
      </c>
      <c r="F462" s="3"/>
    </row>
    <row r="463" spans="1:6" ht="15">
      <c r="A463" s="125" t="str">
        <f ca="1" t="shared" si="8"/>
        <v/>
      </c>
      <c r="F463" s="3"/>
    </row>
    <row r="464" spans="1:6" ht="15">
      <c r="A464" s="125" t="str">
        <f ca="1" t="shared" si="8"/>
        <v/>
      </c>
      <c r="F464" s="3"/>
    </row>
    <row r="465" spans="1:6" ht="15">
      <c r="A465" s="125" t="str">
        <f ca="1" t="shared" si="8"/>
        <v/>
      </c>
      <c r="F465" s="3"/>
    </row>
    <row r="466" spans="1:6" ht="15">
      <c r="A466" s="125" t="str">
        <f ca="1" t="shared" si="8"/>
        <v/>
      </c>
      <c r="F466" s="3"/>
    </row>
    <row r="467" spans="1:6" ht="15">
      <c r="A467" s="125" t="str">
        <f ca="1" t="shared" si="8"/>
        <v/>
      </c>
      <c r="F467" s="3"/>
    </row>
    <row r="468" spans="1:6" ht="15">
      <c r="A468" s="125" t="str">
        <f ca="1" t="shared" si="8"/>
        <v/>
      </c>
      <c r="F468" s="3"/>
    </row>
    <row r="469" spans="1:6" ht="15">
      <c r="A469" s="125" t="str">
        <f ca="1" t="shared" si="8"/>
        <v/>
      </c>
      <c r="F469" s="3"/>
    </row>
    <row r="470" spans="1:6" ht="15">
      <c r="A470" s="125" t="str">
        <f ca="1" t="shared" si="8"/>
        <v/>
      </c>
      <c r="F470" s="3"/>
    </row>
    <row r="471" spans="1:6" ht="15">
      <c r="A471" s="125" t="str">
        <f ca="1" t="shared" si="8"/>
        <v/>
      </c>
      <c r="F471" s="3"/>
    </row>
    <row r="472" spans="1:6" ht="15">
      <c r="A472" s="125" t="str">
        <f ca="1" t="shared" si="8"/>
        <v/>
      </c>
      <c r="F472" s="3"/>
    </row>
    <row r="473" spans="1:6" ht="15">
      <c r="A473" s="125" t="str">
        <f ca="1" t="shared" si="8"/>
        <v/>
      </c>
      <c r="F473" s="3"/>
    </row>
    <row r="474" spans="1:6" ht="15">
      <c r="A474" s="125" t="str">
        <f ca="1" t="shared" si="8"/>
        <v/>
      </c>
      <c r="F474" s="3"/>
    </row>
    <row r="475" spans="1:6" ht="15">
      <c r="A475" s="125" t="str">
        <f ca="1" t="shared" si="8"/>
        <v/>
      </c>
      <c r="F475" s="3"/>
    </row>
    <row r="476" spans="1:6" ht="15">
      <c r="A476" s="125" t="str">
        <f ca="1" t="shared" si="8"/>
        <v/>
      </c>
      <c r="F476" s="3"/>
    </row>
    <row r="477" spans="1:6" ht="15">
      <c r="A477" s="125" t="str">
        <f ca="1" t="shared" si="8"/>
        <v/>
      </c>
      <c r="F477" s="3"/>
    </row>
    <row r="478" spans="1:6" ht="15">
      <c r="A478" s="125" t="str">
        <f ca="1" t="shared" si="8"/>
        <v/>
      </c>
      <c r="F478" s="3"/>
    </row>
    <row r="479" spans="1:6" ht="15">
      <c r="A479" s="125" t="str">
        <f ca="1" t="shared" si="8"/>
        <v/>
      </c>
      <c r="F479" s="3"/>
    </row>
    <row r="480" spans="1:6" ht="15">
      <c r="A480" s="125" t="str">
        <f ca="1" t="shared" si="8"/>
        <v/>
      </c>
      <c r="F480" s="3"/>
    </row>
    <row r="481" spans="1:6" ht="15">
      <c r="A481" s="125" t="str">
        <f ca="1" t="shared" si="8"/>
        <v/>
      </c>
      <c r="F481" s="3"/>
    </row>
    <row r="482" spans="1:6" ht="15">
      <c r="A482" s="125" t="str">
        <f ca="1" t="shared" si="8"/>
        <v/>
      </c>
      <c r="F482" s="3"/>
    </row>
    <row r="483" spans="1:6" ht="15">
      <c r="A483" s="125" t="str">
        <f ca="1" t="shared" si="8"/>
        <v/>
      </c>
      <c r="F483" s="3"/>
    </row>
    <row r="484" spans="1:6" ht="15">
      <c r="A484" s="125" t="str">
        <f ca="1" t="shared" si="8"/>
        <v/>
      </c>
      <c r="F484" s="3"/>
    </row>
    <row r="485" spans="1:6" ht="15">
      <c r="A485" s="125" t="str">
        <f ca="1" t="shared" si="8"/>
        <v/>
      </c>
      <c r="F485" s="3"/>
    </row>
    <row r="486" spans="1:6" ht="15">
      <c r="A486" s="125" t="str">
        <f ca="1" t="shared" si="8"/>
        <v/>
      </c>
      <c r="F486" s="3"/>
    </row>
    <row r="487" spans="1:6" ht="15">
      <c r="A487" s="125" t="str">
        <f ca="1" t="shared" si="8"/>
        <v/>
      </c>
      <c r="F487" s="3"/>
    </row>
    <row r="488" spans="1:6" ht="15">
      <c r="A488" s="125" t="str">
        <f ca="1" t="shared" si="8"/>
        <v/>
      </c>
      <c r="F488" s="3"/>
    </row>
    <row r="489" spans="1:6" ht="15">
      <c r="A489" s="125" t="str">
        <f ca="1" t="shared" si="8"/>
        <v/>
      </c>
      <c r="F489" s="3"/>
    </row>
    <row r="490" spans="1:6" ht="15">
      <c r="A490" s="125" t="str">
        <f ca="1" t="shared" si="8"/>
        <v/>
      </c>
      <c r="F490" s="3"/>
    </row>
    <row r="491" spans="1:6" ht="15">
      <c r="A491" s="125" t="str">
        <f ca="1" t="shared" si="8"/>
        <v/>
      </c>
      <c r="F491" s="3"/>
    </row>
    <row r="492" spans="1:6" ht="15">
      <c r="A492" s="125" t="str">
        <f ca="1" t="shared" si="8"/>
        <v/>
      </c>
      <c r="F492" s="3"/>
    </row>
    <row r="493" spans="1:6" ht="15">
      <c r="A493" s="125" t="str">
        <f ca="1" t="shared" si="8"/>
        <v/>
      </c>
      <c r="F493" s="3"/>
    </row>
    <row r="494" spans="1:6" ht="15">
      <c r="A494" s="125" t="str">
        <f ca="1" t="shared" si="8"/>
        <v/>
      </c>
      <c r="F494" s="3"/>
    </row>
    <row r="495" spans="1:6" ht="15">
      <c r="A495" s="125" t="str">
        <f ca="1" t="shared" si="8"/>
        <v/>
      </c>
      <c r="F495" s="3"/>
    </row>
    <row r="496" spans="1:6" ht="15">
      <c r="A496" s="125" t="str">
        <f ca="1" t="shared" si="8"/>
        <v/>
      </c>
      <c r="F496" s="3"/>
    </row>
    <row r="497" spans="1:6" ht="15">
      <c r="A497" s="125" t="str">
        <f ca="1" t="shared" si="8"/>
        <v/>
      </c>
      <c r="F497" s="3"/>
    </row>
    <row r="498" spans="1:6" ht="15">
      <c r="A498" s="125" t="str">
        <f ca="1" t="shared" si="8"/>
        <v/>
      </c>
      <c r="F498" s="3"/>
    </row>
    <row r="499" spans="1:6" ht="15">
      <c r="A499" s="125" t="str">
        <f ca="1" t="shared" si="8"/>
        <v/>
      </c>
      <c r="F499" s="3"/>
    </row>
    <row r="500" spans="1:6" ht="15">
      <c r="A500" s="125" t="str">
        <f ca="1" t="shared" si="8"/>
        <v/>
      </c>
      <c r="F500" s="3"/>
    </row>
    <row r="501" spans="1:6" ht="15">
      <c r="A501" s="125" t="str">
        <f ca="1" t="shared" si="8"/>
        <v/>
      </c>
      <c r="F501" s="3"/>
    </row>
    <row r="502" spans="1:6" ht="15">
      <c r="A502" s="125" t="str">
        <f ca="1" t="shared" si="8"/>
        <v/>
      </c>
      <c r="F502" s="3"/>
    </row>
    <row r="503" spans="1:6" ht="15">
      <c r="A503" s="125" t="str">
        <f ca="1" t="shared" si="8"/>
        <v/>
      </c>
      <c r="F503" s="3"/>
    </row>
    <row r="504" spans="1:6" ht="15">
      <c r="A504" s="125" t="str">
        <f ca="1" t="shared" si="8"/>
        <v/>
      </c>
      <c r="F504" s="3"/>
    </row>
    <row r="505" spans="1:6" ht="15">
      <c r="A505" s="125" t="str">
        <f ca="1" t="shared" si="8"/>
        <v/>
      </c>
      <c r="F505" s="3"/>
    </row>
    <row r="506" spans="1:6" ht="15">
      <c r="A506" s="125" t="str">
        <f ca="1" t="shared" si="8"/>
        <v/>
      </c>
      <c r="F506" s="3"/>
    </row>
    <row r="507" spans="1:6" ht="15">
      <c r="A507" s="125" t="str">
        <f ca="1" t="shared" si="8"/>
        <v/>
      </c>
      <c r="F507" s="3"/>
    </row>
    <row r="508" spans="1:6" ht="15">
      <c r="A508" s="125" t="str">
        <f ca="1" t="shared" si="8"/>
        <v/>
      </c>
      <c r="F508" s="3"/>
    </row>
    <row r="509" spans="1:6" ht="15">
      <c r="A509" s="125" t="str">
        <f ca="1" t="shared" si="8"/>
        <v/>
      </c>
      <c r="F509" s="3"/>
    </row>
    <row r="510" spans="1:6" ht="15">
      <c r="A510" s="125" t="str">
        <f ca="1" t="shared" si="8"/>
        <v/>
      </c>
      <c r="F510" s="3"/>
    </row>
    <row r="511" spans="1:6" ht="15">
      <c r="A511" s="125" t="str">
        <f ca="1" t="shared" si="8"/>
        <v/>
      </c>
      <c r="F511" s="3"/>
    </row>
    <row r="512" spans="1:6" ht="15">
      <c r="A512" s="125" t="str">
        <f aca="true" t="shared" si="9" ref="A512:A575">IF(ISBLANK(B512),"",(TODAY()-B512)/30)</f>
        <v/>
      </c>
      <c r="F512" s="3"/>
    </row>
    <row r="513" spans="1:6" ht="15">
      <c r="A513" s="125" t="str">
        <f ca="1" t="shared" si="9"/>
        <v/>
      </c>
      <c r="F513" s="3"/>
    </row>
    <row r="514" spans="1:6" ht="15">
      <c r="A514" s="125" t="str">
        <f ca="1" t="shared" si="9"/>
        <v/>
      </c>
      <c r="F514" s="3"/>
    </row>
    <row r="515" spans="1:6" ht="15">
      <c r="A515" s="125" t="str">
        <f ca="1" t="shared" si="9"/>
        <v/>
      </c>
      <c r="F515" s="3"/>
    </row>
    <row r="516" spans="1:6" ht="15">
      <c r="A516" s="125" t="str">
        <f ca="1" t="shared" si="9"/>
        <v/>
      </c>
      <c r="F516" s="3"/>
    </row>
    <row r="517" spans="1:6" ht="15">
      <c r="A517" s="125" t="str">
        <f ca="1" t="shared" si="9"/>
        <v/>
      </c>
      <c r="F517" s="3"/>
    </row>
    <row r="518" spans="1:6" ht="15">
      <c r="A518" s="125" t="str">
        <f ca="1" t="shared" si="9"/>
        <v/>
      </c>
      <c r="F518" s="3"/>
    </row>
    <row r="519" spans="1:6" ht="15">
      <c r="A519" s="125" t="str">
        <f ca="1" t="shared" si="9"/>
        <v/>
      </c>
      <c r="F519" s="3"/>
    </row>
    <row r="520" spans="1:6" ht="15">
      <c r="A520" s="125" t="str">
        <f ca="1" t="shared" si="9"/>
        <v/>
      </c>
      <c r="F520" s="3"/>
    </row>
    <row r="521" spans="1:6" ht="15">
      <c r="A521" s="125" t="str">
        <f ca="1" t="shared" si="9"/>
        <v/>
      </c>
      <c r="F521" s="3"/>
    </row>
    <row r="522" spans="1:6" ht="15">
      <c r="A522" s="125" t="str">
        <f ca="1" t="shared" si="9"/>
        <v/>
      </c>
      <c r="F522" s="3"/>
    </row>
    <row r="523" spans="1:6" ht="15">
      <c r="A523" s="125" t="str">
        <f ca="1" t="shared" si="9"/>
        <v/>
      </c>
      <c r="F523" s="3"/>
    </row>
    <row r="524" spans="1:6" ht="15">
      <c r="A524" s="125" t="str">
        <f ca="1" t="shared" si="9"/>
        <v/>
      </c>
      <c r="F524" s="3"/>
    </row>
    <row r="525" spans="1:6" ht="15">
      <c r="A525" s="125" t="str">
        <f ca="1" t="shared" si="9"/>
        <v/>
      </c>
      <c r="F525" s="3"/>
    </row>
    <row r="526" spans="1:6" ht="15">
      <c r="A526" s="125" t="str">
        <f ca="1" t="shared" si="9"/>
        <v/>
      </c>
      <c r="F526" s="3"/>
    </row>
    <row r="527" spans="1:6" ht="15">
      <c r="A527" s="125" t="str">
        <f ca="1" t="shared" si="9"/>
        <v/>
      </c>
      <c r="F527" s="3"/>
    </row>
    <row r="528" spans="1:6" ht="15">
      <c r="A528" s="125" t="str">
        <f ca="1" t="shared" si="9"/>
        <v/>
      </c>
      <c r="F528" s="3"/>
    </row>
    <row r="529" spans="1:6" ht="15">
      <c r="A529" s="125" t="str">
        <f ca="1" t="shared" si="9"/>
        <v/>
      </c>
      <c r="F529" s="3"/>
    </row>
    <row r="530" spans="1:6" ht="15">
      <c r="A530" s="125" t="str">
        <f ca="1" t="shared" si="9"/>
        <v/>
      </c>
      <c r="F530" s="3"/>
    </row>
    <row r="531" spans="1:6" ht="15">
      <c r="A531" s="125" t="str">
        <f ca="1" t="shared" si="9"/>
        <v/>
      </c>
      <c r="F531" s="3"/>
    </row>
    <row r="532" spans="1:6" ht="15">
      <c r="A532" s="125" t="str">
        <f ca="1" t="shared" si="9"/>
        <v/>
      </c>
      <c r="F532" s="3"/>
    </row>
    <row r="533" spans="1:6" ht="15">
      <c r="A533" s="125" t="str">
        <f ca="1" t="shared" si="9"/>
        <v/>
      </c>
      <c r="F533" s="3"/>
    </row>
    <row r="534" spans="1:6" ht="15">
      <c r="A534" s="125" t="str">
        <f ca="1" t="shared" si="9"/>
        <v/>
      </c>
      <c r="F534" s="3"/>
    </row>
    <row r="535" spans="1:6" ht="15">
      <c r="A535" s="125" t="str">
        <f ca="1" t="shared" si="9"/>
        <v/>
      </c>
      <c r="F535" s="3"/>
    </row>
    <row r="536" spans="1:6" ht="15">
      <c r="A536" s="125" t="str">
        <f ca="1" t="shared" si="9"/>
        <v/>
      </c>
      <c r="F536" s="3"/>
    </row>
    <row r="537" spans="1:6" ht="15">
      <c r="A537" s="125" t="str">
        <f ca="1" t="shared" si="9"/>
        <v/>
      </c>
      <c r="F537" s="3"/>
    </row>
    <row r="538" spans="1:6" ht="15">
      <c r="A538" s="125" t="str">
        <f ca="1" t="shared" si="9"/>
        <v/>
      </c>
      <c r="F538" s="3"/>
    </row>
    <row r="539" spans="1:6" ht="15">
      <c r="A539" s="125" t="str">
        <f ca="1" t="shared" si="9"/>
        <v/>
      </c>
      <c r="F539" s="3"/>
    </row>
    <row r="540" spans="1:6" ht="15">
      <c r="A540" s="125" t="str">
        <f ca="1" t="shared" si="9"/>
        <v/>
      </c>
      <c r="F540" s="3"/>
    </row>
    <row r="541" spans="1:6" ht="15">
      <c r="A541" s="125" t="str">
        <f ca="1" t="shared" si="9"/>
        <v/>
      </c>
      <c r="F541" s="3"/>
    </row>
    <row r="542" spans="1:6" ht="15">
      <c r="A542" s="125" t="str">
        <f ca="1" t="shared" si="9"/>
        <v/>
      </c>
      <c r="F542" s="3"/>
    </row>
    <row r="543" spans="1:6" ht="15">
      <c r="A543" s="125" t="str">
        <f ca="1" t="shared" si="9"/>
        <v/>
      </c>
      <c r="F543" s="3"/>
    </row>
    <row r="544" spans="1:6" ht="15">
      <c r="A544" s="125" t="str">
        <f ca="1" t="shared" si="9"/>
        <v/>
      </c>
      <c r="F544" s="3"/>
    </row>
    <row r="545" spans="1:6" ht="15">
      <c r="A545" s="125" t="str">
        <f ca="1" t="shared" si="9"/>
        <v/>
      </c>
      <c r="F545" s="3"/>
    </row>
    <row r="546" spans="1:6" ht="15">
      <c r="A546" s="125" t="str">
        <f ca="1" t="shared" si="9"/>
        <v/>
      </c>
      <c r="F546" s="3"/>
    </row>
    <row r="547" spans="1:6" ht="15">
      <c r="A547" s="125" t="str">
        <f ca="1" t="shared" si="9"/>
        <v/>
      </c>
      <c r="F547" s="3"/>
    </row>
    <row r="548" spans="1:6" ht="15">
      <c r="A548" s="125" t="str">
        <f ca="1" t="shared" si="9"/>
        <v/>
      </c>
      <c r="F548" s="3"/>
    </row>
    <row r="549" spans="1:6" ht="15">
      <c r="A549" s="125" t="str">
        <f ca="1" t="shared" si="9"/>
        <v/>
      </c>
      <c r="F549" s="3"/>
    </row>
    <row r="550" spans="1:6" ht="15">
      <c r="A550" s="125" t="str">
        <f ca="1" t="shared" si="9"/>
        <v/>
      </c>
      <c r="F550" s="3"/>
    </row>
    <row r="551" spans="1:6" ht="15">
      <c r="A551" s="125" t="str">
        <f ca="1" t="shared" si="9"/>
        <v/>
      </c>
      <c r="F551" s="3"/>
    </row>
    <row r="552" spans="1:6" ht="15">
      <c r="A552" s="125" t="str">
        <f ca="1" t="shared" si="9"/>
        <v/>
      </c>
      <c r="F552" s="3"/>
    </row>
    <row r="553" spans="1:6" ht="15">
      <c r="A553" s="125" t="str">
        <f ca="1" t="shared" si="9"/>
        <v/>
      </c>
      <c r="F553" s="3"/>
    </row>
    <row r="554" spans="1:6" ht="15">
      <c r="A554" s="125" t="str">
        <f ca="1" t="shared" si="9"/>
        <v/>
      </c>
      <c r="F554" s="3"/>
    </row>
    <row r="555" spans="1:6" ht="15">
      <c r="A555" s="125" t="str">
        <f ca="1" t="shared" si="9"/>
        <v/>
      </c>
      <c r="F555" s="3"/>
    </row>
    <row r="556" spans="1:6" ht="15">
      <c r="A556" s="125" t="str">
        <f ca="1" t="shared" si="9"/>
        <v/>
      </c>
      <c r="F556" s="3"/>
    </row>
    <row r="557" spans="1:6" ht="15">
      <c r="A557" s="125" t="str">
        <f ca="1" t="shared" si="9"/>
        <v/>
      </c>
      <c r="F557" s="3"/>
    </row>
    <row r="558" spans="1:6" ht="15">
      <c r="A558" s="125" t="str">
        <f ca="1" t="shared" si="9"/>
        <v/>
      </c>
      <c r="F558" s="3"/>
    </row>
    <row r="559" spans="1:6" ht="15">
      <c r="A559" s="125" t="str">
        <f ca="1" t="shared" si="9"/>
        <v/>
      </c>
      <c r="F559" s="3"/>
    </row>
    <row r="560" spans="1:6" ht="15">
      <c r="A560" s="125" t="str">
        <f ca="1" t="shared" si="9"/>
        <v/>
      </c>
      <c r="F560" s="3"/>
    </row>
    <row r="561" spans="1:6" ht="15">
      <c r="A561" s="125" t="str">
        <f ca="1" t="shared" si="9"/>
        <v/>
      </c>
      <c r="F561" s="3"/>
    </row>
    <row r="562" spans="1:6" ht="15">
      <c r="A562" s="125" t="str">
        <f ca="1" t="shared" si="9"/>
        <v/>
      </c>
      <c r="F562" s="3"/>
    </row>
    <row r="563" spans="1:6" ht="15">
      <c r="A563" s="125" t="str">
        <f ca="1" t="shared" si="9"/>
        <v/>
      </c>
      <c r="F563" s="3"/>
    </row>
    <row r="564" spans="1:6" ht="15">
      <c r="A564" s="125" t="str">
        <f ca="1" t="shared" si="9"/>
        <v/>
      </c>
      <c r="F564" s="3"/>
    </row>
    <row r="565" spans="1:6" ht="15">
      <c r="A565" s="125" t="str">
        <f ca="1" t="shared" si="9"/>
        <v/>
      </c>
      <c r="F565" s="3"/>
    </row>
    <row r="566" spans="1:6" ht="15">
      <c r="A566" s="125" t="str">
        <f ca="1" t="shared" si="9"/>
        <v/>
      </c>
      <c r="F566" s="3"/>
    </row>
    <row r="567" spans="1:6" ht="15">
      <c r="A567" s="125" t="str">
        <f ca="1" t="shared" si="9"/>
        <v/>
      </c>
      <c r="F567" s="3"/>
    </row>
    <row r="568" spans="1:6" ht="15">
      <c r="A568" s="125" t="str">
        <f ca="1" t="shared" si="9"/>
        <v/>
      </c>
      <c r="F568" s="3"/>
    </row>
    <row r="569" spans="1:6" ht="15">
      <c r="A569" s="125" t="str">
        <f ca="1" t="shared" si="9"/>
        <v/>
      </c>
      <c r="F569" s="3"/>
    </row>
    <row r="570" spans="1:6" ht="15">
      <c r="A570" s="125" t="str">
        <f ca="1" t="shared" si="9"/>
        <v/>
      </c>
      <c r="F570" s="3"/>
    </row>
    <row r="571" spans="1:6" ht="15">
      <c r="A571" s="125" t="str">
        <f ca="1" t="shared" si="9"/>
        <v/>
      </c>
      <c r="F571" s="3"/>
    </row>
    <row r="572" spans="1:6" ht="15">
      <c r="A572" s="125" t="str">
        <f ca="1" t="shared" si="9"/>
        <v/>
      </c>
      <c r="F572" s="3"/>
    </row>
    <row r="573" spans="1:6" ht="15">
      <c r="A573" s="125" t="str">
        <f ca="1" t="shared" si="9"/>
        <v/>
      </c>
      <c r="F573" s="3"/>
    </row>
    <row r="574" spans="1:6" ht="15">
      <c r="A574" s="125" t="str">
        <f ca="1" t="shared" si="9"/>
        <v/>
      </c>
      <c r="F574" s="3"/>
    </row>
    <row r="575" spans="1:6" ht="15">
      <c r="A575" s="125" t="str">
        <f ca="1" t="shared" si="9"/>
        <v/>
      </c>
      <c r="F575" s="3"/>
    </row>
    <row r="576" spans="1:6" ht="15">
      <c r="A576" s="125" t="str">
        <f aca="true" t="shared" si="10" ref="A576:A639">IF(ISBLANK(B576),"",(TODAY()-B576)/30)</f>
        <v/>
      </c>
      <c r="F576" s="3"/>
    </row>
    <row r="577" spans="1:6" ht="15">
      <c r="A577" s="125" t="str">
        <f ca="1" t="shared" si="10"/>
        <v/>
      </c>
      <c r="F577" s="3"/>
    </row>
    <row r="578" spans="1:6" ht="15">
      <c r="A578" s="125" t="str">
        <f ca="1" t="shared" si="10"/>
        <v/>
      </c>
      <c r="F578" s="3"/>
    </row>
    <row r="579" spans="1:6" ht="15">
      <c r="A579" s="125" t="str">
        <f ca="1" t="shared" si="10"/>
        <v/>
      </c>
      <c r="F579" s="3"/>
    </row>
    <row r="580" spans="1:6" ht="15">
      <c r="A580" s="125" t="str">
        <f ca="1" t="shared" si="10"/>
        <v/>
      </c>
      <c r="F580" s="3"/>
    </row>
    <row r="581" spans="1:6" ht="15">
      <c r="A581" s="125" t="str">
        <f ca="1" t="shared" si="10"/>
        <v/>
      </c>
      <c r="F581" s="3"/>
    </row>
    <row r="582" spans="1:6" ht="15">
      <c r="A582" s="125" t="str">
        <f ca="1" t="shared" si="10"/>
        <v/>
      </c>
      <c r="F582" s="3"/>
    </row>
    <row r="583" spans="1:6" ht="15">
      <c r="A583" s="125" t="str">
        <f ca="1" t="shared" si="10"/>
        <v/>
      </c>
      <c r="F583" s="3"/>
    </row>
    <row r="584" spans="1:6" ht="15">
      <c r="A584" s="125" t="str">
        <f ca="1" t="shared" si="10"/>
        <v/>
      </c>
      <c r="F584" s="3"/>
    </row>
    <row r="585" spans="1:6" ht="15">
      <c r="A585" s="125" t="str">
        <f ca="1" t="shared" si="10"/>
        <v/>
      </c>
      <c r="F585" s="3"/>
    </row>
    <row r="586" spans="1:6" ht="15">
      <c r="A586" s="125" t="str">
        <f ca="1" t="shared" si="10"/>
        <v/>
      </c>
      <c r="F586" s="3"/>
    </row>
    <row r="587" spans="1:6" ht="15">
      <c r="A587" s="125" t="str">
        <f ca="1" t="shared" si="10"/>
        <v/>
      </c>
      <c r="F587" s="3"/>
    </row>
    <row r="588" spans="1:6" ht="15">
      <c r="A588" s="125" t="str">
        <f ca="1" t="shared" si="10"/>
        <v/>
      </c>
      <c r="F588" s="3"/>
    </row>
    <row r="589" spans="1:6" ht="15">
      <c r="A589" s="125" t="str">
        <f ca="1" t="shared" si="10"/>
        <v/>
      </c>
      <c r="F589" s="3"/>
    </row>
    <row r="590" spans="1:6" ht="15">
      <c r="A590" s="125" t="str">
        <f ca="1" t="shared" si="10"/>
        <v/>
      </c>
      <c r="F590" s="3"/>
    </row>
    <row r="591" spans="1:6" ht="15">
      <c r="A591" s="125" t="str">
        <f ca="1" t="shared" si="10"/>
        <v/>
      </c>
      <c r="F591" s="3"/>
    </row>
    <row r="592" spans="1:6" ht="15">
      <c r="A592" s="125" t="str">
        <f ca="1" t="shared" si="10"/>
        <v/>
      </c>
      <c r="F592" s="3"/>
    </row>
    <row r="593" spans="1:6" ht="15">
      <c r="A593" s="125" t="str">
        <f ca="1" t="shared" si="10"/>
        <v/>
      </c>
      <c r="F593" s="3"/>
    </row>
    <row r="594" spans="1:6" ht="15">
      <c r="A594" s="125" t="str">
        <f ca="1" t="shared" si="10"/>
        <v/>
      </c>
      <c r="F594" s="3"/>
    </row>
    <row r="595" spans="1:6" ht="15">
      <c r="A595" s="125" t="str">
        <f ca="1" t="shared" si="10"/>
        <v/>
      </c>
      <c r="F595" s="3"/>
    </row>
    <row r="596" spans="1:6" ht="15">
      <c r="A596" s="125" t="str">
        <f ca="1" t="shared" si="10"/>
        <v/>
      </c>
      <c r="F596" s="3"/>
    </row>
    <row r="597" spans="1:6" ht="15">
      <c r="A597" s="125" t="str">
        <f ca="1" t="shared" si="10"/>
        <v/>
      </c>
      <c r="F597" s="3"/>
    </row>
    <row r="598" spans="1:6" ht="15">
      <c r="A598" s="125" t="str">
        <f ca="1" t="shared" si="10"/>
        <v/>
      </c>
      <c r="F598" s="3"/>
    </row>
    <row r="599" spans="1:6" ht="15">
      <c r="A599" s="125" t="str">
        <f ca="1" t="shared" si="10"/>
        <v/>
      </c>
      <c r="F599" s="3"/>
    </row>
    <row r="600" spans="1:6" ht="15">
      <c r="A600" s="125" t="str">
        <f ca="1" t="shared" si="10"/>
        <v/>
      </c>
      <c r="F600" s="3"/>
    </row>
    <row r="601" spans="1:6" ht="15">
      <c r="A601" s="125" t="str">
        <f ca="1" t="shared" si="10"/>
        <v/>
      </c>
      <c r="F601" s="3"/>
    </row>
    <row r="602" spans="1:6" ht="15">
      <c r="A602" s="125" t="str">
        <f ca="1" t="shared" si="10"/>
        <v/>
      </c>
      <c r="F602" s="3"/>
    </row>
    <row r="603" spans="1:6" ht="15">
      <c r="A603" s="125" t="str">
        <f ca="1" t="shared" si="10"/>
        <v/>
      </c>
      <c r="F603" s="3"/>
    </row>
    <row r="604" spans="1:6" ht="15">
      <c r="A604" s="125" t="str">
        <f ca="1" t="shared" si="10"/>
        <v/>
      </c>
      <c r="F604" s="3"/>
    </row>
    <row r="605" spans="1:6" ht="15">
      <c r="A605" s="125" t="str">
        <f ca="1" t="shared" si="10"/>
        <v/>
      </c>
      <c r="F605" s="3"/>
    </row>
    <row r="606" spans="1:6" ht="15">
      <c r="A606" s="125" t="str">
        <f ca="1" t="shared" si="10"/>
        <v/>
      </c>
      <c r="F606" s="3"/>
    </row>
    <row r="607" spans="1:6" ht="15">
      <c r="A607" s="125" t="str">
        <f ca="1" t="shared" si="10"/>
        <v/>
      </c>
      <c r="F607" s="3"/>
    </row>
    <row r="608" spans="1:6" ht="15">
      <c r="A608" s="125" t="str">
        <f ca="1" t="shared" si="10"/>
        <v/>
      </c>
      <c r="F608" s="3"/>
    </row>
    <row r="609" spans="1:6" ht="15">
      <c r="A609" s="125" t="str">
        <f ca="1" t="shared" si="10"/>
        <v/>
      </c>
      <c r="F609" s="3"/>
    </row>
    <row r="610" spans="1:6" ht="15">
      <c r="A610" s="125" t="str">
        <f ca="1" t="shared" si="10"/>
        <v/>
      </c>
      <c r="F610" s="3"/>
    </row>
    <row r="611" spans="1:6" ht="15">
      <c r="A611" s="125" t="str">
        <f ca="1" t="shared" si="10"/>
        <v/>
      </c>
      <c r="F611" s="3"/>
    </row>
    <row r="612" spans="1:6" ht="15">
      <c r="A612" s="125" t="str">
        <f ca="1" t="shared" si="10"/>
        <v/>
      </c>
      <c r="F612" s="3"/>
    </row>
    <row r="613" spans="1:6" ht="15">
      <c r="A613" s="125" t="str">
        <f ca="1" t="shared" si="10"/>
        <v/>
      </c>
      <c r="F613" s="3"/>
    </row>
    <row r="614" spans="1:6" ht="15">
      <c r="A614" s="125" t="str">
        <f ca="1" t="shared" si="10"/>
        <v/>
      </c>
      <c r="F614" s="3"/>
    </row>
    <row r="615" spans="1:6" ht="15">
      <c r="A615" s="125" t="str">
        <f ca="1" t="shared" si="10"/>
        <v/>
      </c>
      <c r="F615" s="3"/>
    </row>
    <row r="616" spans="1:6" ht="15">
      <c r="A616" s="125" t="str">
        <f ca="1" t="shared" si="10"/>
        <v/>
      </c>
      <c r="F616" s="3"/>
    </row>
    <row r="617" spans="1:6" ht="15">
      <c r="A617" s="125" t="str">
        <f ca="1" t="shared" si="10"/>
        <v/>
      </c>
      <c r="F617" s="3"/>
    </row>
    <row r="618" spans="1:6" ht="15">
      <c r="A618" s="125" t="str">
        <f ca="1" t="shared" si="10"/>
        <v/>
      </c>
      <c r="F618" s="3"/>
    </row>
    <row r="619" spans="1:6" ht="15">
      <c r="A619" s="125" t="str">
        <f ca="1" t="shared" si="10"/>
        <v/>
      </c>
      <c r="F619" s="3"/>
    </row>
    <row r="620" spans="1:6" ht="15">
      <c r="A620" s="125" t="str">
        <f ca="1" t="shared" si="10"/>
        <v/>
      </c>
      <c r="F620" s="3"/>
    </row>
    <row r="621" spans="1:6" ht="15">
      <c r="A621" s="125" t="str">
        <f ca="1" t="shared" si="10"/>
        <v/>
      </c>
      <c r="F621" s="3"/>
    </row>
    <row r="622" spans="1:6" ht="15">
      <c r="A622" s="125" t="str">
        <f ca="1" t="shared" si="10"/>
        <v/>
      </c>
      <c r="F622" s="3"/>
    </row>
    <row r="623" spans="1:6" ht="15">
      <c r="A623" s="125" t="str">
        <f ca="1" t="shared" si="10"/>
        <v/>
      </c>
      <c r="F623" s="3"/>
    </row>
    <row r="624" spans="1:6" ht="15">
      <c r="A624" s="125" t="str">
        <f ca="1" t="shared" si="10"/>
        <v/>
      </c>
      <c r="F624" s="3"/>
    </row>
    <row r="625" spans="1:6" ht="15">
      <c r="A625" s="125" t="str">
        <f ca="1" t="shared" si="10"/>
        <v/>
      </c>
      <c r="F625" s="3"/>
    </row>
    <row r="626" spans="1:6" ht="15">
      <c r="A626" s="125" t="str">
        <f ca="1" t="shared" si="10"/>
        <v/>
      </c>
      <c r="F626" s="3"/>
    </row>
    <row r="627" spans="1:6" ht="15">
      <c r="A627" s="125" t="str">
        <f ca="1" t="shared" si="10"/>
        <v/>
      </c>
      <c r="F627" s="3"/>
    </row>
    <row r="628" spans="1:6" ht="15">
      <c r="A628" s="125" t="str">
        <f ca="1" t="shared" si="10"/>
        <v/>
      </c>
      <c r="F628" s="3"/>
    </row>
    <row r="629" spans="1:6" ht="15">
      <c r="A629" s="125" t="str">
        <f ca="1" t="shared" si="10"/>
        <v/>
      </c>
      <c r="F629" s="3"/>
    </row>
    <row r="630" spans="1:6" ht="15">
      <c r="A630" s="125" t="str">
        <f ca="1" t="shared" si="10"/>
        <v/>
      </c>
      <c r="F630" s="3"/>
    </row>
    <row r="631" spans="1:6" ht="15">
      <c r="A631" s="125" t="str">
        <f ca="1" t="shared" si="10"/>
        <v/>
      </c>
      <c r="F631" s="3"/>
    </row>
    <row r="632" spans="1:6" ht="15">
      <c r="A632" s="125" t="str">
        <f ca="1" t="shared" si="10"/>
        <v/>
      </c>
      <c r="F632" s="3"/>
    </row>
    <row r="633" spans="1:6" ht="15">
      <c r="A633" s="125" t="str">
        <f ca="1" t="shared" si="10"/>
        <v/>
      </c>
      <c r="F633" s="3"/>
    </row>
    <row r="634" spans="1:6" ht="15">
      <c r="A634" s="125" t="str">
        <f ca="1" t="shared" si="10"/>
        <v/>
      </c>
      <c r="F634" s="3"/>
    </row>
    <row r="635" spans="1:6" ht="15">
      <c r="A635" s="125" t="str">
        <f ca="1" t="shared" si="10"/>
        <v/>
      </c>
      <c r="F635" s="3"/>
    </row>
    <row r="636" spans="1:6" ht="15">
      <c r="A636" s="125" t="str">
        <f ca="1" t="shared" si="10"/>
        <v/>
      </c>
      <c r="F636" s="3"/>
    </row>
    <row r="637" spans="1:6" ht="15">
      <c r="A637" s="125" t="str">
        <f ca="1" t="shared" si="10"/>
        <v/>
      </c>
      <c r="F637" s="3"/>
    </row>
    <row r="638" spans="1:6" ht="15">
      <c r="A638" s="125" t="str">
        <f ca="1" t="shared" si="10"/>
        <v/>
      </c>
      <c r="F638" s="3"/>
    </row>
    <row r="639" spans="1:6" ht="15">
      <c r="A639" s="125" t="str">
        <f ca="1" t="shared" si="10"/>
        <v/>
      </c>
      <c r="F639" s="3"/>
    </row>
    <row r="640" spans="1:6" ht="15">
      <c r="A640" s="125" t="str">
        <f aca="true" t="shared" si="11" ref="A640:A703">IF(ISBLANK(B640),"",(TODAY()-B640)/30)</f>
        <v/>
      </c>
      <c r="F640" s="3"/>
    </row>
    <row r="641" spans="1:6" ht="15">
      <c r="A641" s="125" t="str">
        <f ca="1" t="shared" si="11"/>
        <v/>
      </c>
      <c r="F641" s="3"/>
    </row>
    <row r="642" spans="1:6" ht="15">
      <c r="A642" s="125" t="str">
        <f ca="1" t="shared" si="11"/>
        <v/>
      </c>
      <c r="F642" s="3"/>
    </row>
    <row r="643" spans="1:6" ht="15">
      <c r="A643" s="125" t="str">
        <f ca="1" t="shared" si="11"/>
        <v/>
      </c>
      <c r="F643" s="3"/>
    </row>
    <row r="644" spans="1:6" ht="15">
      <c r="A644" s="125" t="str">
        <f ca="1" t="shared" si="11"/>
        <v/>
      </c>
      <c r="F644" s="3"/>
    </row>
    <row r="645" spans="1:6" ht="15">
      <c r="A645" s="125" t="str">
        <f ca="1" t="shared" si="11"/>
        <v/>
      </c>
      <c r="F645" s="3"/>
    </row>
    <row r="646" spans="1:6" ht="15">
      <c r="A646" s="125" t="str">
        <f ca="1" t="shared" si="11"/>
        <v/>
      </c>
      <c r="F646" s="3"/>
    </row>
    <row r="647" spans="1:6" ht="15">
      <c r="A647" s="125" t="str">
        <f ca="1" t="shared" si="11"/>
        <v/>
      </c>
      <c r="F647" s="3"/>
    </row>
    <row r="648" spans="1:6" ht="15">
      <c r="A648" s="125" t="str">
        <f ca="1" t="shared" si="11"/>
        <v/>
      </c>
      <c r="F648" s="3"/>
    </row>
    <row r="649" spans="1:6" ht="15">
      <c r="A649" s="125" t="str">
        <f ca="1" t="shared" si="11"/>
        <v/>
      </c>
      <c r="F649" s="3"/>
    </row>
    <row r="650" spans="1:6" ht="15">
      <c r="A650" s="125" t="str">
        <f ca="1" t="shared" si="11"/>
        <v/>
      </c>
      <c r="F650" s="3"/>
    </row>
    <row r="651" spans="1:6" ht="15">
      <c r="A651" s="125" t="str">
        <f ca="1" t="shared" si="11"/>
        <v/>
      </c>
      <c r="F651" s="3"/>
    </row>
    <row r="652" spans="1:6" ht="15">
      <c r="A652" s="125" t="str">
        <f ca="1" t="shared" si="11"/>
        <v/>
      </c>
      <c r="F652" s="3"/>
    </row>
    <row r="653" spans="1:6" ht="15">
      <c r="A653" s="125" t="str">
        <f ca="1" t="shared" si="11"/>
        <v/>
      </c>
      <c r="F653" s="3"/>
    </row>
    <row r="654" spans="1:6" ht="15">
      <c r="A654" s="125" t="str">
        <f ca="1" t="shared" si="11"/>
        <v/>
      </c>
      <c r="F654" s="3"/>
    </row>
    <row r="655" spans="1:6" ht="15">
      <c r="A655" s="125" t="str">
        <f ca="1" t="shared" si="11"/>
        <v/>
      </c>
      <c r="F655" s="3"/>
    </row>
    <row r="656" spans="1:6" ht="15">
      <c r="A656" s="125" t="str">
        <f ca="1" t="shared" si="11"/>
        <v/>
      </c>
      <c r="F656" s="3"/>
    </row>
    <row r="657" spans="1:6" ht="15">
      <c r="A657" s="125" t="str">
        <f ca="1" t="shared" si="11"/>
        <v/>
      </c>
      <c r="F657" s="3"/>
    </row>
    <row r="658" spans="1:6" ht="15">
      <c r="A658" s="125" t="str">
        <f ca="1" t="shared" si="11"/>
        <v/>
      </c>
      <c r="F658" s="3"/>
    </row>
    <row r="659" spans="1:6" ht="15">
      <c r="A659" s="125" t="str">
        <f ca="1" t="shared" si="11"/>
        <v/>
      </c>
      <c r="F659" s="3"/>
    </row>
    <row r="660" spans="1:6" ht="15">
      <c r="A660" s="125" t="str">
        <f ca="1" t="shared" si="11"/>
        <v/>
      </c>
      <c r="F660" s="3"/>
    </row>
    <row r="661" spans="1:6" ht="15">
      <c r="A661" s="125" t="str">
        <f ca="1" t="shared" si="11"/>
        <v/>
      </c>
      <c r="F661" s="3"/>
    </row>
    <row r="662" spans="1:6" ht="15">
      <c r="A662" s="125" t="str">
        <f ca="1" t="shared" si="11"/>
        <v/>
      </c>
      <c r="F662" s="3"/>
    </row>
    <row r="663" spans="1:6" ht="15">
      <c r="A663" s="125" t="str">
        <f ca="1" t="shared" si="11"/>
        <v/>
      </c>
      <c r="F663" s="3"/>
    </row>
    <row r="664" spans="1:6" ht="15">
      <c r="A664" s="125" t="str">
        <f ca="1" t="shared" si="11"/>
        <v/>
      </c>
      <c r="F664" s="3"/>
    </row>
    <row r="665" spans="1:6" ht="15">
      <c r="A665" s="125" t="str">
        <f ca="1" t="shared" si="11"/>
        <v/>
      </c>
      <c r="F665" s="3"/>
    </row>
    <row r="666" spans="1:6" ht="15">
      <c r="A666" s="125" t="str">
        <f ca="1" t="shared" si="11"/>
        <v/>
      </c>
      <c r="F666" s="3"/>
    </row>
    <row r="667" spans="1:6" ht="15">
      <c r="A667" s="125" t="str">
        <f ca="1" t="shared" si="11"/>
        <v/>
      </c>
      <c r="F667" s="3"/>
    </row>
    <row r="668" spans="1:6" ht="15">
      <c r="A668" s="125" t="str">
        <f ca="1" t="shared" si="11"/>
        <v/>
      </c>
      <c r="F668" s="3"/>
    </row>
    <row r="669" spans="1:6" ht="15">
      <c r="A669" s="125" t="str">
        <f ca="1" t="shared" si="11"/>
        <v/>
      </c>
      <c r="F669" s="3"/>
    </row>
    <row r="670" spans="1:6" ht="15">
      <c r="A670" s="125" t="str">
        <f ca="1" t="shared" si="11"/>
        <v/>
      </c>
      <c r="F670" s="3"/>
    </row>
    <row r="671" spans="1:6" ht="15">
      <c r="A671" s="125" t="str">
        <f ca="1" t="shared" si="11"/>
        <v/>
      </c>
      <c r="F671" s="3"/>
    </row>
    <row r="672" spans="1:6" ht="15">
      <c r="A672" s="125" t="str">
        <f ca="1" t="shared" si="11"/>
        <v/>
      </c>
      <c r="F672" s="3"/>
    </row>
    <row r="673" spans="1:6" ht="15">
      <c r="A673" s="125" t="str">
        <f ca="1" t="shared" si="11"/>
        <v/>
      </c>
      <c r="F673" s="3"/>
    </row>
    <row r="674" spans="1:6" ht="15">
      <c r="A674" s="125" t="str">
        <f ca="1" t="shared" si="11"/>
        <v/>
      </c>
      <c r="F674" s="3"/>
    </row>
    <row r="675" spans="1:6" ht="15">
      <c r="A675" s="125" t="str">
        <f ca="1" t="shared" si="11"/>
        <v/>
      </c>
      <c r="F675" s="3"/>
    </row>
    <row r="676" spans="1:6" ht="15">
      <c r="A676" s="125" t="str">
        <f ca="1" t="shared" si="11"/>
        <v/>
      </c>
      <c r="F676" s="3"/>
    </row>
    <row r="677" spans="1:6" ht="15">
      <c r="A677" s="125" t="str">
        <f ca="1" t="shared" si="11"/>
        <v/>
      </c>
      <c r="F677" s="3"/>
    </row>
    <row r="678" spans="1:6" ht="15">
      <c r="A678" s="125" t="str">
        <f ca="1" t="shared" si="11"/>
        <v/>
      </c>
      <c r="F678" s="3"/>
    </row>
    <row r="679" spans="1:6" ht="15">
      <c r="A679" s="125" t="str">
        <f ca="1" t="shared" si="11"/>
        <v/>
      </c>
      <c r="F679" s="3"/>
    </row>
    <row r="680" spans="1:6" ht="15">
      <c r="A680" s="125" t="str">
        <f ca="1" t="shared" si="11"/>
        <v/>
      </c>
      <c r="F680" s="3"/>
    </row>
    <row r="681" spans="1:6" ht="15">
      <c r="A681" s="125" t="str">
        <f ca="1" t="shared" si="11"/>
        <v/>
      </c>
      <c r="F681" s="3"/>
    </row>
    <row r="682" spans="1:6" ht="15">
      <c r="A682" s="125" t="str">
        <f ca="1" t="shared" si="11"/>
        <v/>
      </c>
      <c r="F682" s="3"/>
    </row>
    <row r="683" spans="1:6" ht="15">
      <c r="A683" s="125" t="str">
        <f ca="1" t="shared" si="11"/>
        <v/>
      </c>
      <c r="F683" s="3"/>
    </row>
    <row r="684" spans="1:6" ht="15">
      <c r="A684" s="125" t="str">
        <f ca="1" t="shared" si="11"/>
        <v/>
      </c>
      <c r="F684" s="3"/>
    </row>
    <row r="685" spans="1:6" ht="15">
      <c r="A685" s="125" t="str">
        <f ca="1" t="shared" si="11"/>
        <v/>
      </c>
      <c r="F685" s="3"/>
    </row>
    <row r="686" spans="1:6" ht="15">
      <c r="A686" s="125" t="str">
        <f ca="1" t="shared" si="11"/>
        <v/>
      </c>
      <c r="F686" s="3"/>
    </row>
    <row r="687" spans="1:6" ht="15">
      <c r="A687" s="125" t="str">
        <f ca="1" t="shared" si="11"/>
        <v/>
      </c>
      <c r="F687" s="3"/>
    </row>
    <row r="688" spans="1:6" ht="15">
      <c r="A688" s="125" t="str">
        <f ca="1" t="shared" si="11"/>
        <v/>
      </c>
      <c r="F688" s="3"/>
    </row>
    <row r="689" spans="1:6" ht="15">
      <c r="A689" s="125" t="str">
        <f ca="1" t="shared" si="11"/>
        <v/>
      </c>
      <c r="F689" s="3"/>
    </row>
    <row r="690" spans="1:6" ht="15">
      <c r="A690" s="125" t="str">
        <f ca="1" t="shared" si="11"/>
        <v/>
      </c>
      <c r="F690" s="3"/>
    </row>
    <row r="691" spans="1:6" ht="15">
      <c r="A691" s="125" t="str">
        <f ca="1" t="shared" si="11"/>
        <v/>
      </c>
      <c r="F691" s="3"/>
    </row>
    <row r="692" spans="1:6" ht="15">
      <c r="A692" s="125" t="str">
        <f ca="1" t="shared" si="11"/>
        <v/>
      </c>
      <c r="F692" s="3"/>
    </row>
    <row r="693" spans="1:6" ht="15">
      <c r="A693" s="125" t="str">
        <f ca="1" t="shared" si="11"/>
        <v/>
      </c>
      <c r="F693" s="3"/>
    </row>
    <row r="694" spans="1:6" ht="15">
      <c r="A694" s="125" t="str">
        <f ca="1" t="shared" si="11"/>
        <v/>
      </c>
      <c r="F694" s="3"/>
    </row>
    <row r="695" spans="1:6" ht="15">
      <c r="A695" s="125" t="str">
        <f ca="1" t="shared" si="11"/>
        <v/>
      </c>
      <c r="F695" s="3"/>
    </row>
    <row r="696" spans="1:6" ht="15">
      <c r="A696" s="125" t="str">
        <f ca="1" t="shared" si="11"/>
        <v/>
      </c>
      <c r="F696" s="3"/>
    </row>
    <row r="697" spans="1:6" ht="15">
      <c r="A697" s="125" t="str">
        <f ca="1" t="shared" si="11"/>
        <v/>
      </c>
      <c r="F697" s="3"/>
    </row>
    <row r="698" spans="1:6" ht="15">
      <c r="A698" s="125" t="str">
        <f ca="1" t="shared" si="11"/>
        <v/>
      </c>
      <c r="F698" s="3"/>
    </row>
    <row r="699" spans="1:6" ht="15">
      <c r="A699" s="125" t="str">
        <f ca="1" t="shared" si="11"/>
        <v/>
      </c>
      <c r="F699" s="3"/>
    </row>
    <row r="700" spans="1:6" ht="15">
      <c r="A700" s="125" t="str">
        <f ca="1" t="shared" si="11"/>
        <v/>
      </c>
      <c r="F700" s="3"/>
    </row>
    <row r="701" spans="1:6" ht="15">
      <c r="A701" s="125" t="str">
        <f ca="1" t="shared" si="11"/>
        <v/>
      </c>
      <c r="F701" s="3"/>
    </row>
    <row r="702" spans="1:6" ht="15">
      <c r="A702" s="125" t="str">
        <f ca="1" t="shared" si="11"/>
        <v/>
      </c>
      <c r="F702" s="3"/>
    </row>
    <row r="703" spans="1:6" ht="15">
      <c r="A703" s="125" t="str">
        <f ca="1" t="shared" si="11"/>
        <v/>
      </c>
      <c r="F703" s="3"/>
    </row>
    <row r="704" spans="1:6" ht="15">
      <c r="A704" s="125" t="str">
        <f aca="true" t="shared" si="12" ref="A704:A767">IF(ISBLANK(B704),"",(TODAY()-B704)/30)</f>
        <v/>
      </c>
      <c r="F704" s="3"/>
    </row>
    <row r="705" spans="1:6" ht="15">
      <c r="A705" s="125" t="str">
        <f ca="1" t="shared" si="12"/>
        <v/>
      </c>
      <c r="F705" s="3"/>
    </row>
    <row r="706" spans="1:6" ht="15">
      <c r="A706" s="125" t="str">
        <f ca="1" t="shared" si="12"/>
        <v/>
      </c>
      <c r="F706" s="3"/>
    </row>
    <row r="707" spans="1:6" ht="15">
      <c r="A707" s="125" t="str">
        <f ca="1" t="shared" si="12"/>
        <v/>
      </c>
      <c r="F707" s="3"/>
    </row>
    <row r="708" spans="1:6" ht="15">
      <c r="A708" s="125" t="str">
        <f ca="1" t="shared" si="12"/>
        <v/>
      </c>
      <c r="F708" s="3"/>
    </row>
    <row r="709" spans="1:6" ht="15">
      <c r="A709" s="125" t="str">
        <f ca="1" t="shared" si="12"/>
        <v/>
      </c>
      <c r="F709" s="3"/>
    </row>
    <row r="710" spans="1:6" ht="15">
      <c r="A710" s="125" t="str">
        <f ca="1" t="shared" si="12"/>
        <v/>
      </c>
      <c r="F710" s="3"/>
    </row>
    <row r="711" spans="1:6" ht="15">
      <c r="A711" s="125" t="str">
        <f ca="1" t="shared" si="12"/>
        <v/>
      </c>
      <c r="F711" s="3"/>
    </row>
    <row r="712" spans="1:6" ht="15">
      <c r="A712" s="125" t="str">
        <f ca="1" t="shared" si="12"/>
        <v/>
      </c>
      <c r="F712" s="3"/>
    </row>
    <row r="713" spans="1:6" ht="15">
      <c r="A713" s="125" t="str">
        <f ca="1" t="shared" si="12"/>
        <v/>
      </c>
      <c r="F713" s="3"/>
    </row>
    <row r="714" spans="1:6" ht="15">
      <c r="A714" s="125" t="str">
        <f ca="1" t="shared" si="12"/>
        <v/>
      </c>
      <c r="F714" s="3"/>
    </row>
    <row r="715" spans="1:6" ht="15">
      <c r="A715" s="125" t="str">
        <f ca="1" t="shared" si="12"/>
        <v/>
      </c>
      <c r="F715" s="3"/>
    </row>
    <row r="716" spans="1:6" ht="15">
      <c r="A716" s="125" t="str">
        <f ca="1" t="shared" si="12"/>
        <v/>
      </c>
      <c r="F716" s="3"/>
    </row>
    <row r="717" spans="1:6" ht="15">
      <c r="A717" s="125" t="str">
        <f ca="1" t="shared" si="12"/>
        <v/>
      </c>
      <c r="F717" s="3"/>
    </row>
    <row r="718" spans="1:6" ht="15">
      <c r="A718" s="125" t="str">
        <f ca="1" t="shared" si="12"/>
        <v/>
      </c>
      <c r="F718" s="3"/>
    </row>
    <row r="719" spans="1:6" ht="15">
      <c r="A719" s="125" t="str">
        <f ca="1" t="shared" si="12"/>
        <v/>
      </c>
      <c r="F719" s="3"/>
    </row>
    <row r="720" spans="1:6" ht="15">
      <c r="A720" s="125" t="str">
        <f ca="1" t="shared" si="12"/>
        <v/>
      </c>
      <c r="F720" s="3"/>
    </row>
    <row r="721" spans="1:6" ht="15">
      <c r="A721" s="125" t="str">
        <f ca="1" t="shared" si="12"/>
        <v/>
      </c>
      <c r="F721" s="3"/>
    </row>
    <row r="722" spans="1:6" ht="15">
      <c r="A722" s="125" t="str">
        <f ca="1" t="shared" si="12"/>
        <v/>
      </c>
      <c r="F722" s="3"/>
    </row>
    <row r="723" spans="1:6" ht="15">
      <c r="A723" s="125" t="str">
        <f ca="1" t="shared" si="12"/>
        <v/>
      </c>
      <c r="F723" s="3"/>
    </row>
    <row r="724" spans="1:6" ht="15">
      <c r="A724" s="125" t="str">
        <f ca="1" t="shared" si="12"/>
        <v/>
      </c>
      <c r="F724" s="3"/>
    </row>
    <row r="725" spans="1:6" ht="15">
      <c r="A725" s="125" t="str">
        <f ca="1" t="shared" si="12"/>
        <v/>
      </c>
      <c r="F725" s="3"/>
    </row>
    <row r="726" spans="1:6" ht="15">
      <c r="A726" s="125" t="str">
        <f ca="1" t="shared" si="12"/>
        <v/>
      </c>
      <c r="F726" s="3"/>
    </row>
    <row r="727" spans="1:6" ht="15">
      <c r="A727" s="125" t="str">
        <f ca="1" t="shared" si="12"/>
        <v/>
      </c>
      <c r="F727" s="3"/>
    </row>
    <row r="728" spans="1:6" ht="15">
      <c r="A728" s="125" t="str">
        <f ca="1" t="shared" si="12"/>
        <v/>
      </c>
      <c r="F728" s="3"/>
    </row>
    <row r="729" spans="1:6" ht="15">
      <c r="A729" s="125" t="str">
        <f ca="1" t="shared" si="12"/>
        <v/>
      </c>
      <c r="F729" s="3"/>
    </row>
    <row r="730" spans="1:6" ht="15">
      <c r="A730" s="125" t="str">
        <f ca="1" t="shared" si="12"/>
        <v/>
      </c>
      <c r="F730" s="3"/>
    </row>
    <row r="731" spans="1:6" ht="15">
      <c r="A731" s="125" t="str">
        <f ca="1" t="shared" si="12"/>
        <v/>
      </c>
      <c r="F731" s="3"/>
    </row>
    <row r="732" spans="1:6" ht="15">
      <c r="A732" s="125" t="str">
        <f ca="1" t="shared" si="12"/>
        <v/>
      </c>
      <c r="F732" s="3"/>
    </row>
    <row r="733" spans="1:6" ht="15">
      <c r="A733" s="125" t="str">
        <f ca="1" t="shared" si="12"/>
        <v/>
      </c>
      <c r="F733" s="3"/>
    </row>
    <row r="734" spans="1:6" ht="15">
      <c r="A734" s="125" t="str">
        <f ca="1" t="shared" si="12"/>
        <v/>
      </c>
      <c r="F734" s="3"/>
    </row>
    <row r="735" spans="1:6" ht="15">
      <c r="A735" s="125" t="str">
        <f ca="1" t="shared" si="12"/>
        <v/>
      </c>
      <c r="F735" s="3"/>
    </row>
    <row r="736" spans="1:6" ht="15">
      <c r="A736" s="125" t="str">
        <f ca="1" t="shared" si="12"/>
        <v/>
      </c>
      <c r="F736" s="3"/>
    </row>
    <row r="737" spans="1:6" ht="15">
      <c r="A737" s="125" t="str">
        <f ca="1" t="shared" si="12"/>
        <v/>
      </c>
      <c r="F737" s="3"/>
    </row>
    <row r="738" spans="1:6" ht="15">
      <c r="A738" s="125" t="str">
        <f ca="1" t="shared" si="12"/>
        <v/>
      </c>
      <c r="F738" s="3"/>
    </row>
    <row r="739" spans="1:6" ht="15">
      <c r="A739" s="125" t="str">
        <f ca="1" t="shared" si="12"/>
        <v/>
      </c>
      <c r="F739" s="3"/>
    </row>
    <row r="740" spans="1:6" ht="15">
      <c r="A740" s="125" t="str">
        <f ca="1" t="shared" si="12"/>
        <v/>
      </c>
      <c r="F740" s="3"/>
    </row>
    <row r="741" spans="1:6" ht="15">
      <c r="A741" s="125" t="str">
        <f ca="1" t="shared" si="12"/>
        <v/>
      </c>
      <c r="F741" s="3"/>
    </row>
    <row r="742" spans="1:6" ht="15">
      <c r="A742" s="125" t="str">
        <f ca="1" t="shared" si="12"/>
        <v/>
      </c>
      <c r="F742" s="3"/>
    </row>
    <row r="743" spans="1:6" ht="15">
      <c r="A743" s="125" t="str">
        <f ca="1" t="shared" si="12"/>
        <v/>
      </c>
      <c r="F743" s="3"/>
    </row>
    <row r="744" spans="1:6" ht="15">
      <c r="A744" s="125" t="str">
        <f ca="1" t="shared" si="12"/>
        <v/>
      </c>
      <c r="F744" s="3"/>
    </row>
    <row r="745" spans="1:6" ht="15">
      <c r="A745" s="125" t="str">
        <f ca="1" t="shared" si="12"/>
        <v/>
      </c>
      <c r="F745" s="3"/>
    </row>
    <row r="746" spans="1:6" ht="15">
      <c r="A746" s="125" t="str">
        <f ca="1" t="shared" si="12"/>
        <v/>
      </c>
      <c r="F746" s="3"/>
    </row>
    <row r="747" spans="1:6" ht="15">
      <c r="A747" s="125" t="str">
        <f ca="1" t="shared" si="12"/>
        <v/>
      </c>
      <c r="F747" s="3"/>
    </row>
    <row r="748" spans="1:6" ht="15">
      <c r="A748" s="125" t="str">
        <f ca="1" t="shared" si="12"/>
        <v/>
      </c>
      <c r="F748" s="3"/>
    </row>
    <row r="749" spans="1:6" ht="15">
      <c r="A749" s="125" t="str">
        <f ca="1" t="shared" si="12"/>
        <v/>
      </c>
      <c r="F749" s="3"/>
    </row>
    <row r="750" spans="1:6" ht="15">
      <c r="A750" s="125" t="str">
        <f ca="1" t="shared" si="12"/>
        <v/>
      </c>
      <c r="F750" s="3"/>
    </row>
    <row r="751" spans="1:6" ht="15">
      <c r="A751" s="125" t="str">
        <f ca="1" t="shared" si="12"/>
        <v/>
      </c>
      <c r="F751" s="3"/>
    </row>
    <row r="752" spans="1:6" ht="15">
      <c r="A752" s="125" t="str">
        <f ca="1" t="shared" si="12"/>
        <v/>
      </c>
      <c r="F752" s="3"/>
    </row>
    <row r="753" spans="1:6" ht="15">
      <c r="A753" s="125" t="str">
        <f ca="1" t="shared" si="12"/>
        <v/>
      </c>
      <c r="F753" s="3"/>
    </row>
    <row r="754" spans="1:6" ht="15">
      <c r="A754" s="125" t="str">
        <f ca="1" t="shared" si="12"/>
        <v/>
      </c>
      <c r="F754" s="3"/>
    </row>
    <row r="755" spans="1:6" ht="15">
      <c r="A755" s="125" t="str">
        <f ca="1" t="shared" si="12"/>
        <v/>
      </c>
      <c r="F755" s="3"/>
    </row>
    <row r="756" spans="1:6" ht="15">
      <c r="A756" s="125" t="str">
        <f ca="1" t="shared" si="12"/>
        <v/>
      </c>
      <c r="F756" s="3"/>
    </row>
    <row r="757" spans="1:6" ht="15">
      <c r="A757" s="125" t="str">
        <f ca="1" t="shared" si="12"/>
        <v/>
      </c>
      <c r="F757" s="3"/>
    </row>
    <row r="758" spans="1:6" ht="15">
      <c r="A758" s="125" t="str">
        <f ca="1" t="shared" si="12"/>
        <v/>
      </c>
      <c r="F758" s="3"/>
    </row>
    <row r="759" spans="1:6" ht="15">
      <c r="A759" s="125" t="str">
        <f ca="1" t="shared" si="12"/>
        <v/>
      </c>
      <c r="F759" s="3"/>
    </row>
    <row r="760" spans="1:6" ht="15">
      <c r="A760" s="125" t="str">
        <f ca="1" t="shared" si="12"/>
        <v/>
      </c>
      <c r="F760" s="3"/>
    </row>
    <row r="761" spans="1:6" ht="15">
      <c r="A761" s="125" t="str">
        <f ca="1" t="shared" si="12"/>
        <v/>
      </c>
      <c r="F761" s="3"/>
    </row>
    <row r="762" spans="1:6" ht="15">
      <c r="A762" s="125" t="str">
        <f ca="1" t="shared" si="12"/>
        <v/>
      </c>
      <c r="F762" s="3"/>
    </row>
    <row r="763" spans="1:6" ht="15">
      <c r="A763" s="125" t="str">
        <f ca="1" t="shared" si="12"/>
        <v/>
      </c>
      <c r="F763" s="3"/>
    </row>
    <row r="764" spans="1:6" ht="15">
      <c r="A764" s="125" t="str">
        <f ca="1" t="shared" si="12"/>
        <v/>
      </c>
      <c r="F764" s="3"/>
    </row>
    <row r="765" spans="1:6" ht="15">
      <c r="A765" s="125" t="str">
        <f ca="1" t="shared" si="12"/>
        <v/>
      </c>
      <c r="F765" s="3"/>
    </row>
    <row r="766" spans="1:6" ht="15">
      <c r="A766" s="125" t="str">
        <f ca="1" t="shared" si="12"/>
        <v/>
      </c>
      <c r="F766" s="3"/>
    </row>
    <row r="767" spans="1:6" ht="15">
      <c r="A767" s="125" t="str">
        <f ca="1" t="shared" si="12"/>
        <v/>
      </c>
      <c r="F767" s="3"/>
    </row>
    <row r="768" spans="1:6" ht="15">
      <c r="A768" s="125" t="str">
        <f aca="true" t="shared" si="13" ref="A768:A831">IF(ISBLANK(B768),"",(TODAY()-B768)/30)</f>
        <v/>
      </c>
      <c r="F768" s="3"/>
    </row>
    <row r="769" spans="1:6" ht="15">
      <c r="A769" s="125" t="str">
        <f ca="1" t="shared" si="13"/>
        <v/>
      </c>
      <c r="F769" s="3"/>
    </row>
    <row r="770" spans="1:6" ht="15">
      <c r="A770" s="125" t="str">
        <f ca="1" t="shared" si="13"/>
        <v/>
      </c>
      <c r="F770" s="3"/>
    </row>
    <row r="771" spans="1:6" ht="15">
      <c r="A771" s="125" t="str">
        <f ca="1" t="shared" si="13"/>
        <v/>
      </c>
      <c r="F771" s="3"/>
    </row>
    <row r="772" spans="1:6" ht="15">
      <c r="A772" s="125" t="str">
        <f ca="1" t="shared" si="13"/>
        <v/>
      </c>
      <c r="F772" s="3"/>
    </row>
    <row r="773" spans="1:6" ht="15">
      <c r="A773" s="125" t="str">
        <f ca="1" t="shared" si="13"/>
        <v/>
      </c>
      <c r="F773" s="3"/>
    </row>
    <row r="774" spans="1:6" ht="15">
      <c r="A774" s="125" t="str">
        <f ca="1" t="shared" si="13"/>
        <v/>
      </c>
      <c r="F774" s="3"/>
    </row>
    <row r="775" spans="1:6" ht="15">
      <c r="A775" s="125" t="str">
        <f ca="1" t="shared" si="13"/>
        <v/>
      </c>
      <c r="F775" s="3"/>
    </row>
    <row r="776" spans="1:6" ht="15">
      <c r="A776" s="125" t="str">
        <f ca="1" t="shared" si="13"/>
        <v/>
      </c>
      <c r="F776" s="3"/>
    </row>
    <row r="777" spans="1:6" ht="15">
      <c r="A777" s="125" t="str">
        <f ca="1" t="shared" si="13"/>
        <v/>
      </c>
      <c r="F777" s="3"/>
    </row>
    <row r="778" spans="1:6" ht="15">
      <c r="A778" s="125" t="str">
        <f ca="1" t="shared" si="13"/>
        <v/>
      </c>
      <c r="F778" s="3"/>
    </row>
    <row r="779" spans="1:6" ht="15">
      <c r="A779" s="125" t="str">
        <f ca="1" t="shared" si="13"/>
        <v/>
      </c>
      <c r="F779" s="3"/>
    </row>
    <row r="780" spans="1:6" ht="15">
      <c r="A780" s="125" t="str">
        <f ca="1" t="shared" si="13"/>
        <v/>
      </c>
      <c r="F780" s="3"/>
    </row>
    <row r="781" spans="1:6" ht="15">
      <c r="A781" s="125" t="str">
        <f ca="1" t="shared" si="13"/>
        <v/>
      </c>
      <c r="F781" s="3"/>
    </row>
    <row r="782" spans="1:6" ht="15">
      <c r="A782" s="125" t="str">
        <f ca="1" t="shared" si="13"/>
        <v/>
      </c>
      <c r="F782" s="3"/>
    </row>
    <row r="783" spans="1:6" ht="15">
      <c r="A783" s="125" t="str">
        <f ca="1" t="shared" si="13"/>
        <v/>
      </c>
      <c r="F783" s="3"/>
    </row>
    <row r="784" spans="1:6" ht="15">
      <c r="A784" s="125" t="str">
        <f ca="1" t="shared" si="13"/>
        <v/>
      </c>
      <c r="F784" s="3"/>
    </row>
    <row r="785" spans="1:6" ht="15">
      <c r="A785" s="125" t="str">
        <f ca="1" t="shared" si="13"/>
        <v/>
      </c>
      <c r="F785" s="3"/>
    </row>
    <row r="786" spans="1:6" ht="15">
      <c r="A786" s="125" t="str">
        <f ca="1" t="shared" si="13"/>
        <v/>
      </c>
      <c r="F786" s="3"/>
    </row>
    <row r="787" spans="1:6" ht="15">
      <c r="A787" s="125" t="str">
        <f ca="1" t="shared" si="13"/>
        <v/>
      </c>
      <c r="F787" s="3"/>
    </row>
    <row r="788" spans="1:6" ht="15">
      <c r="A788" s="125" t="str">
        <f ca="1" t="shared" si="13"/>
        <v/>
      </c>
      <c r="F788" s="3"/>
    </row>
    <row r="789" spans="1:6" ht="15">
      <c r="A789" s="125" t="str">
        <f ca="1" t="shared" si="13"/>
        <v/>
      </c>
      <c r="F789" s="3"/>
    </row>
    <row r="790" spans="1:6" ht="15">
      <c r="A790" s="125" t="str">
        <f ca="1" t="shared" si="13"/>
        <v/>
      </c>
      <c r="F790" s="3"/>
    </row>
    <row r="791" spans="1:6" ht="15">
      <c r="A791" s="125" t="str">
        <f ca="1" t="shared" si="13"/>
        <v/>
      </c>
      <c r="F791" s="3"/>
    </row>
    <row r="792" spans="1:6" ht="15">
      <c r="A792" s="125" t="str">
        <f ca="1" t="shared" si="13"/>
        <v/>
      </c>
      <c r="F792" s="3"/>
    </row>
    <row r="793" spans="1:6" ht="15">
      <c r="A793" s="125" t="str">
        <f ca="1" t="shared" si="13"/>
        <v/>
      </c>
      <c r="F793" s="3"/>
    </row>
    <row r="794" spans="1:6" ht="15">
      <c r="A794" s="125" t="str">
        <f ca="1" t="shared" si="13"/>
        <v/>
      </c>
      <c r="F794" s="3"/>
    </row>
    <row r="795" spans="1:6" ht="15">
      <c r="A795" s="125" t="str">
        <f ca="1" t="shared" si="13"/>
        <v/>
      </c>
      <c r="F795" s="3"/>
    </row>
    <row r="796" spans="1:6" ht="15">
      <c r="A796" s="125" t="str">
        <f ca="1" t="shared" si="13"/>
        <v/>
      </c>
      <c r="F796" s="3"/>
    </row>
    <row r="797" spans="1:6" ht="15">
      <c r="A797" s="125" t="str">
        <f ca="1" t="shared" si="13"/>
        <v/>
      </c>
      <c r="F797" s="3"/>
    </row>
    <row r="798" spans="1:6" ht="15">
      <c r="A798" s="125" t="str">
        <f ca="1" t="shared" si="13"/>
        <v/>
      </c>
      <c r="F798" s="3"/>
    </row>
    <row r="799" spans="1:6" ht="15">
      <c r="A799" s="125" t="str">
        <f ca="1" t="shared" si="13"/>
        <v/>
      </c>
      <c r="F799" s="3"/>
    </row>
    <row r="800" spans="1:6" ht="15">
      <c r="A800" s="125" t="str">
        <f ca="1" t="shared" si="13"/>
        <v/>
      </c>
      <c r="F800" s="3"/>
    </row>
    <row r="801" spans="1:6" ht="15">
      <c r="A801" s="125" t="str">
        <f ca="1" t="shared" si="13"/>
        <v/>
      </c>
      <c r="F801" s="3"/>
    </row>
    <row r="802" spans="1:6" ht="15">
      <c r="A802" s="125" t="str">
        <f ca="1" t="shared" si="13"/>
        <v/>
      </c>
      <c r="F802" s="3"/>
    </row>
    <row r="803" spans="1:6" ht="15">
      <c r="A803" s="125" t="str">
        <f ca="1" t="shared" si="13"/>
        <v/>
      </c>
      <c r="F803" s="3"/>
    </row>
    <row r="804" spans="1:6" ht="15">
      <c r="A804" s="125" t="str">
        <f ca="1" t="shared" si="13"/>
        <v/>
      </c>
      <c r="F804" s="3"/>
    </row>
    <row r="805" spans="1:6" ht="15">
      <c r="A805" s="125" t="str">
        <f ca="1" t="shared" si="13"/>
        <v/>
      </c>
      <c r="F805" s="3"/>
    </row>
    <row r="806" spans="1:6" ht="15">
      <c r="A806" s="125" t="str">
        <f ca="1" t="shared" si="13"/>
        <v/>
      </c>
      <c r="F806" s="3"/>
    </row>
    <row r="807" spans="1:6" ht="15">
      <c r="A807" s="125" t="str">
        <f ca="1" t="shared" si="13"/>
        <v/>
      </c>
      <c r="F807" s="3"/>
    </row>
    <row r="808" spans="1:6" ht="15">
      <c r="A808" s="125" t="str">
        <f ca="1" t="shared" si="13"/>
        <v/>
      </c>
      <c r="F808" s="3"/>
    </row>
    <row r="809" spans="1:6" ht="15">
      <c r="A809" s="125" t="str">
        <f ca="1" t="shared" si="13"/>
        <v/>
      </c>
      <c r="F809" s="3"/>
    </row>
    <row r="810" spans="1:6" ht="15">
      <c r="A810" s="125" t="str">
        <f ca="1" t="shared" si="13"/>
        <v/>
      </c>
      <c r="F810" s="3"/>
    </row>
    <row r="811" spans="1:6" ht="15">
      <c r="A811" s="125" t="str">
        <f ca="1" t="shared" si="13"/>
        <v/>
      </c>
      <c r="F811" s="3"/>
    </row>
    <row r="812" spans="1:6" ht="15">
      <c r="A812" s="125" t="str">
        <f ca="1" t="shared" si="13"/>
        <v/>
      </c>
      <c r="F812" s="3"/>
    </row>
    <row r="813" spans="1:6" ht="15">
      <c r="A813" s="125" t="str">
        <f ca="1" t="shared" si="13"/>
        <v/>
      </c>
      <c r="F813" s="3"/>
    </row>
    <row r="814" spans="1:6" ht="15">
      <c r="A814" s="125" t="str">
        <f ca="1" t="shared" si="13"/>
        <v/>
      </c>
      <c r="F814" s="3"/>
    </row>
    <row r="815" spans="1:6" ht="15">
      <c r="A815" s="125" t="str">
        <f ca="1" t="shared" si="13"/>
        <v/>
      </c>
      <c r="F815" s="3"/>
    </row>
    <row r="816" spans="1:6" ht="15">
      <c r="A816" s="125" t="str">
        <f ca="1" t="shared" si="13"/>
        <v/>
      </c>
      <c r="F816" s="3"/>
    </row>
    <row r="817" spans="1:6" ht="15">
      <c r="A817" s="125" t="str">
        <f ca="1" t="shared" si="13"/>
        <v/>
      </c>
      <c r="F817" s="3"/>
    </row>
    <row r="818" spans="1:6" ht="15">
      <c r="A818" s="125" t="str">
        <f ca="1" t="shared" si="13"/>
        <v/>
      </c>
      <c r="F818" s="3"/>
    </row>
    <row r="819" spans="1:6" ht="15">
      <c r="A819" s="125" t="str">
        <f ca="1" t="shared" si="13"/>
        <v/>
      </c>
      <c r="F819" s="3"/>
    </row>
    <row r="820" spans="1:6" ht="15">
      <c r="A820" s="125" t="str">
        <f ca="1" t="shared" si="13"/>
        <v/>
      </c>
      <c r="F820" s="3"/>
    </row>
    <row r="821" spans="1:6" ht="15">
      <c r="A821" s="125" t="str">
        <f ca="1" t="shared" si="13"/>
        <v/>
      </c>
      <c r="F821" s="3"/>
    </row>
    <row r="822" spans="1:6" ht="15">
      <c r="A822" s="125" t="str">
        <f ca="1" t="shared" si="13"/>
        <v/>
      </c>
      <c r="F822" s="3"/>
    </row>
    <row r="823" spans="1:6" ht="15">
      <c r="A823" s="125" t="str">
        <f ca="1" t="shared" si="13"/>
        <v/>
      </c>
      <c r="F823" s="3"/>
    </row>
    <row r="824" spans="1:6" ht="15">
      <c r="A824" s="125" t="str">
        <f ca="1" t="shared" si="13"/>
        <v/>
      </c>
      <c r="F824" s="3"/>
    </row>
    <row r="825" spans="1:6" ht="15">
      <c r="A825" s="125" t="str">
        <f ca="1" t="shared" si="13"/>
        <v/>
      </c>
      <c r="F825" s="3"/>
    </row>
    <row r="826" spans="1:6" ht="15">
      <c r="A826" s="125" t="str">
        <f ca="1" t="shared" si="13"/>
        <v/>
      </c>
      <c r="F826" s="3"/>
    </row>
    <row r="827" spans="1:6" ht="15">
      <c r="A827" s="125" t="str">
        <f ca="1" t="shared" si="13"/>
        <v/>
      </c>
      <c r="F827" s="3"/>
    </row>
    <row r="828" spans="1:6" ht="15">
      <c r="A828" s="125" t="str">
        <f ca="1" t="shared" si="13"/>
        <v/>
      </c>
      <c r="F828" s="3"/>
    </row>
    <row r="829" spans="1:6" ht="15">
      <c r="A829" s="125" t="str">
        <f ca="1" t="shared" si="13"/>
        <v/>
      </c>
      <c r="F829" s="3"/>
    </row>
    <row r="830" spans="1:6" ht="15">
      <c r="A830" s="125" t="str">
        <f ca="1" t="shared" si="13"/>
        <v/>
      </c>
      <c r="F830" s="3"/>
    </row>
    <row r="831" spans="1:6" ht="15">
      <c r="A831" s="125" t="str">
        <f ca="1" t="shared" si="13"/>
        <v/>
      </c>
      <c r="F831" s="3"/>
    </row>
    <row r="832" spans="1:6" ht="15">
      <c r="A832" s="125" t="str">
        <f aca="true" t="shared" si="14" ref="A832:A895">IF(ISBLANK(B832),"",(TODAY()-B832)/30)</f>
        <v/>
      </c>
      <c r="F832" s="3"/>
    </row>
    <row r="833" spans="1:6" ht="15">
      <c r="A833" s="125" t="str">
        <f ca="1" t="shared" si="14"/>
        <v/>
      </c>
      <c r="F833" s="3"/>
    </row>
    <row r="834" spans="1:6" ht="15">
      <c r="A834" s="125" t="str">
        <f ca="1" t="shared" si="14"/>
        <v/>
      </c>
      <c r="F834" s="3"/>
    </row>
    <row r="835" spans="1:6" ht="15">
      <c r="A835" s="125" t="str">
        <f ca="1" t="shared" si="14"/>
        <v/>
      </c>
      <c r="F835" s="3"/>
    </row>
    <row r="836" spans="1:6" ht="15">
      <c r="A836" s="125" t="str">
        <f ca="1" t="shared" si="14"/>
        <v/>
      </c>
      <c r="F836" s="3"/>
    </row>
    <row r="837" spans="1:6" ht="15">
      <c r="A837" s="125" t="str">
        <f ca="1" t="shared" si="14"/>
        <v/>
      </c>
      <c r="F837" s="3"/>
    </row>
    <row r="838" spans="1:6" ht="15">
      <c r="A838" s="125" t="str">
        <f ca="1" t="shared" si="14"/>
        <v/>
      </c>
      <c r="F838" s="3"/>
    </row>
    <row r="839" spans="1:6" ht="15">
      <c r="A839" s="125" t="str">
        <f ca="1" t="shared" si="14"/>
        <v/>
      </c>
      <c r="F839" s="3"/>
    </row>
    <row r="840" spans="1:6" ht="15">
      <c r="A840" s="125" t="str">
        <f ca="1" t="shared" si="14"/>
        <v/>
      </c>
      <c r="F840" s="3"/>
    </row>
    <row r="841" spans="1:6" ht="15">
      <c r="A841" s="125" t="str">
        <f ca="1" t="shared" si="14"/>
        <v/>
      </c>
      <c r="F841" s="3"/>
    </row>
    <row r="842" spans="1:6" ht="15">
      <c r="A842" s="125" t="str">
        <f ca="1" t="shared" si="14"/>
        <v/>
      </c>
      <c r="F842" s="3"/>
    </row>
    <row r="843" spans="1:6" ht="15">
      <c r="A843" s="125" t="str">
        <f ca="1" t="shared" si="14"/>
        <v/>
      </c>
      <c r="F843" s="3"/>
    </row>
    <row r="844" spans="1:6" ht="15">
      <c r="A844" s="125" t="str">
        <f ca="1" t="shared" si="14"/>
        <v/>
      </c>
      <c r="F844" s="3"/>
    </row>
    <row r="845" spans="1:6" ht="15">
      <c r="A845" s="125" t="str">
        <f ca="1" t="shared" si="14"/>
        <v/>
      </c>
      <c r="F845" s="3"/>
    </row>
    <row r="846" spans="1:6" ht="15">
      <c r="A846" s="125" t="str">
        <f ca="1" t="shared" si="14"/>
        <v/>
      </c>
      <c r="F846" s="3"/>
    </row>
    <row r="847" spans="1:6" ht="15">
      <c r="A847" s="125" t="str">
        <f ca="1" t="shared" si="14"/>
        <v/>
      </c>
      <c r="F847" s="3"/>
    </row>
    <row r="848" spans="1:6" ht="15">
      <c r="A848" s="125" t="str">
        <f ca="1" t="shared" si="14"/>
        <v/>
      </c>
      <c r="F848" s="3"/>
    </row>
    <row r="849" spans="1:6" ht="15">
      <c r="A849" s="125" t="str">
        <f ca="1" t="shared" si="14"/>
        <v/>
      </c>
      <c r="F849" s="3"/>
    </row>
    <row r="850" spans="1:6" ht="15">
      <c r="A850" s="125" t="str">
        <f ca="1" t="shared" si="14"/>
        <v/>
      </c>
      <c r="F850" s="3"/>
    </row>
    <row r="851" spans="1:6" ht="15">
      <c r="A851" s="125" t="str">
        <f ca="1" t="shared" si="14"/>
        <v/>
      </c>
      <c r="F851" s="3"/>
    </row>
    <row r="852" spans="1:6" ht="15">
      <c r="A852" s="125" t="str">
        <f ca="1" t="shared" si="14"/>
        <v/>
      </c>
      <c r="F852" s="3"/>
    </row>
    <row r="853" spans="1:6" ht="15">
      <c r="A853" s="125" t="str">
        <f ca="1" t="shared" si="14"/>
        <v/>
      </c>
      <c r="F853" s="3"/>
    </row>
    <row r="854" spans="1:6" ht="15">
      <c r="A854" s="125" t="str">
        <f ca="1" t="shared" si="14"/>
        <v/>
      </c>
      <c r="F854" s="3"/>
    </row>
    <row r="855" spans="1:6" ht="15">
      <c r="A855" s="125" t="str">
        <f ca="1" t="shared" si="14"/>
        <v/>
      </c>
      <c r="F855" s="3"/>
    </row>
    <row r="856" spans="1:6" ht="15">
      <c r="A856" s="125" t="str">
        <f ca="1" t="shared" si="14"/>
        <v/>
      </c>
      <c r="F856" s="3"/>
    </row>
    <row r="857" spans="1:6" ht="15">
      <c r="A857" s="125" t="str">
        <f ca="1" t="shared" si="14"/>
        <v/>
      </c>
      <c r="F857" s="3"/>
    </row>
    <row r="858" spans="1:6" ht="15">
      <c r="A858" s="125" t="str">
        <f ca="1" t="shared" si="14"/>
        <v/>
      </c>
      <c r="F858" s="3"/>
    </row>
    <row r="859" spans="1:6" ht="15">
      <c r="A859" s="125" t="str">
        <f ca="1" t="shared" si="14"/>
        <v/>
      </c>
      <c r="F859" s="3"/>
    </row>
    <row r="860" spans="1:6" ht="15">
      <c r="A860" s="125" t="str">
        <f ca="1" t="shared" si="14"/>
        <v/>
      </c>
      <c r="F860" s="3"/>
    </row>
    <row r="861" spans="1:6" ht="15">
      <c r="A861" s="125" t="str">
        <f ca="1" t="shared" si="14"/>
        <v/>
      </c>
      <c r="F861" s="3"/>
    </row>
    <row r="862" spans="1:6" ht="15">
      <c r="A862" s="125" t="str">
        <f ca="1" t="shared" si="14"/>
        <v/>
      </c>
      <c r="F862" s="3"/>
    </row>
    <row r="863" spans="1:6" ht="15">
      <c r="A863" s="125" t="str">
        <f ca="1" t="shared" si="14"/>
        <v/>
      </c>
      <c r="F863" s="3"/>
    </row>
    <row r="864" spans="1:6" ht="15">
      <c r="A864" s="125" t="str">
        <f ca="1" t="shared" si="14"/>
        <v/>
      </c>
      <c r="F864" s="3"/>
    </row>
    <row r="865" spans="1:6" ht="15">
      <c r="A865" s="125" t="str">
        <f ca="1" t="shared" si="14"/>
        <v/>
      </c>
      <c r="F865" s="3"/>
    </row>
    <row r="866" spans="1:6" ht="15">
      <c r="A866" s="125" t="str">
        <f ca="1" t="shared" si="14"/>
        <v/>
      </c>
      <c r="F866" s="3"/>
    </row>
    <row r="867" spans="1:6" ht="15">
      <c r="A867" s="125" t="str">
        <f ca="1" t="shared" si="14"/>
        <v/>
      </c>
      <c r="F867" s="3"/>
    </row>
    <row r="868" spans="1:6" ht="15">
      <c r="A868" s="125" t="str">
        <f ca="1" t="shared" si="14"/>
        <v/>
      </c>
      <c r="F868" s="3"/>
    </row>
    <row r="869" spans="1:6" ht="15">
      <c r="A869" s="125" t="str">
        <f ca="1" t="shared" si="14"/>
        <v/>
      </c>
      <c r="F869" s="3"/>
    </row>
    <row r="870" spans="1:6" ht="15">
      <c r="A870" s="125" t="str">
        <f ca="1" t="shared" si="14"/>
        <v/>
      </c>
      <c r="F870" s="3"/>
    </row>
    <row r="871" spans="1:6" ht="15">
      <c r="A871" s="125" t="str">
        <f ca="1" t="shared" si="14"/>
        <v/>
      </c>
      <c r="F871" s="3"/>
    </row>
    <row r="872" spans="1:6" ht="15">
      <c r="A872" s="125" t="str">
        <f ca="1" t="shared" si="14"/>
        <v/>
      </c>
      <c r="F872" s="3"/>
    </row>
    <row r="873" spans="1:6" ht="15">
      <c r="A873" s="125" t="str">
        <f ca="1" t="shared" si="14"/>
        <v/>
      </c>
      <c r="F873" s="3"/>
    </row>
    <row r="874" spans="1:6" ht="15">
      <c r="A874" s="125" t="str">
        <f ca="1" t="shared" si="14"/>
        <v/>
      </c>
      <c r="F874" s="3"/>
    </row>
    <row r="875" spans="1:6" ht="15">
      <c r="A875" s="125" t="str">
        <f ca="1" t="shared" si="14"/>
        <v/>
      </c>
      <c r="F875" s="3"/>
    </row>
    <row r="876" spans="1:6" ht="15">
      <c r="A876" s="125" t="str">
        <f ca="1" t="shared" si="14"/>
        <v/>
      </c>
      <c r="F876" s="3"/>
    </row>
    <row r="877" spans="1:6" ht="15">
      <c r="A877" s="125" t="str">
        <f ca="1" t="shared" si="14"/>
        <v/>
      </c>
      <c r="F877" s="3"/>
    </row>
    <row r="878" spans="1:6" ht="15">
      <c r="A878" s="125" t="str">
        <f ca="1" t="shared" si="14"/>
        <v/>
      </c>
      <c r="F878" s="3"/>
    </row>
    <row r="879" spans="1:6" ht="15">
      <c r="A879" s="125" t="str">
        <f ca="1" t="shared" si="14"/>
        <v/>
      </c>
      <c r="F879" s="3"/>
    </row>
    <row r="880" spans="1:6" ht="15">
      <c r="A880" s="125" t="str">
        <f ca="1" t="shared" si="14"/>
        <v/>
      </c>
      <c r="F880" s="3"/>
    </row>
    <row r="881" spans="1:6" ht="15">
      <c r="A881" s="125" t="str">
        <f ca="1" t="shared" si="14"/>
        <v/>
      </c>
      <c r="F881" s="3"/>
    </row>
    <row r="882" spans="1:6" ht="15">
      <c r="A882" s="125" t="str">
        <f ca="1" t="shared" si="14"/>
        <v/>
      </c>
      <c r="F882" s="3"/>
    </row>
    <row r="883" spans="1:6" ht="15">
      <c r="A883" s="125" t="str">
        <f ca="1" t="shared" si="14"/>
        <v/>
      </c>
      <c r="F883" s="3"/>
    </row>
    <row r="884" spans="1:6" ht="15">
      <c r="A884" s="125" t="str">
        <f ca="1" t="shared" si="14"/>
        <v/>
      </c>
      <c r="F884" s="3"/>
    </row>
    <row r="885" spans="1:6" ht="15">
      <c r="A885" s="125" t="str">
        <f ca="1" t="shared" si="14"/>
        <v/>
      </c>
      <c r="F885" s="3"/>
    </row>
    <row r="886" spans="1:6" ht="15">
      <c r="A886" s="125" t="str">
        <f ca="1" t="shared" si="14"/>
        <v/>
      </c>
      <c r="F886" s="3"/>
    </row>
    <row r="887" spans="1:6" ht="15">
      <c r="A887" s="125" t="str">
        <f ca="1" t="shared" si="14"/>
        <v/>
      </c>
      <c r="F887" s="3"/>
    </row>
    <row r="888" spans="1:6" ht="15">
      <c r="A888" s="125" t="str">
        <f ca="1" t="shared" si="14"/>
        <v/>
      </c>
      <c r="F888" s="3"/>
    </row>
    <row r="889" spans="1:6" ht="15">
      <c r="A889" s="125" t="str">
        <f ca="1" t="shared" si="14"/>
        <v/>
      </c>
      <c r="F889" s="3"/>
    </row>
    <row r="890" spans="1:6" ht="15">
      <c r="A890" s="125" t="str">
        <f ca="1" t="shared" si="14"/>
        <v/>
      </c>
      <c r="F890" s="3"/>
    </row>
    <row r="891" spans="1:6" ht="15">
      <c r="A891" s="125" t="str">
        <f ca="1" t="shared" si="14"/>
        <v/>
      </c>
      <c r="F891" s="3"/>
    </row>
    <row r="892" spans="1:6" ht="15">
      <c r="A892" s="125" t="str">
        <f ca="1" t="shared" si="14"/>
        <v/>
      </c>
      <c r="F892" s="3"/>
    </row>
    <row r="893" spans="1:6" ht="15">
      <c r="A893" s="125" t="str">
        <f ca="1" t="shared" si="14"/>
        <v/>
      </c>
      <c r="F893" s="3"/>
    </row>
    <row r="894" spans="1:6" ht="15">
      <c r="A894" s="125" t="str">
        <f ca="1" t="shared" si="14"/>
        <v/>
      </c>
      <c r="F894" s="3"/>
    </row>
    <row r="895" spans="1:6" ht="15">
      <c r="A895" s="125" t="str">
        <f ca="1" t="shared" si="14"/>
        <v/>
      </c>
      <c r="F895" s="3"/>
    </row>
    <row r="896" spans="1:6" ht="15">
      <c r="A896" s="125" t="str">
        <f aca="true" t="shared" si="15" ref="A896:A959">IF(ISBLANK(B896),"",(TODAY()-B896)/30)</f>
        <v/>
      </c>
      <c r="F896" s="3"/>
    </row>
    <row r="897" spans="1:6" ht="15">
      <c r="A897" s="125" t="str">
        <f ca="1" t="shared" si="15"/>
        <v/>
      </c>
      <c r="F897" s="3"/>
    </row>
    <row r="898" spans="1:6" ht="15">
      <c r="A898" s="125" t="str">
        <f ca="1" t="shared" si="15"/>
        <v/>
      </c>
      <c r="F898" s="3"/>
    </row>
    <row r="899" spans="1:6" ht="15">
      <c r="A899" s="125" t="str">
        <f ca="1" t="shared" si="15"/>
        <v/>
      </c>
      <c r="F899" s="3"/>
    </row>
    <row r="900" spans="1:6" ht="15">
      <c r="A900" s="125" t="str">
        <f ca="1" t="shared" si="15"/>
        <v/>
      </c>
      <c r="F900" s="3"/>
    </row>
    <row r="901" spans="1:6" ht="15">
      <c r="A901" s="125" t="str">
        <f ca="1" t="shared" si="15"/>
        <v/>
      </c>
      <c r="F901" s="3"/>
    </row>
    <row r="902" spans="1:6" ht="15">
      <c r="A902" s="125" t="str">
        <f ca="1" t="shared" si="15"/>
        <v/>
      </c>
      <c r="F902" s="3"/>
    </row>
    <row r="903" spans="1:6" ht="15">
      <c r="A903" s="125" t="str">
        <f ca="1" t="shared" si="15"/>
        <v/>
      </c>
      <c r="F903" s="3"/>
    </row>
    <row r="904" spans="1:6" ht="15">
      <c r="A904" s="125" t="str">
        <f ca="1" t="shared" si="15"/>
        <v/>
      </c>
      <c r="F904" s="3"/>
    </row>
    <row r="905" spans="1:6" ht="15">
      <c r="A905" s="125" t="str">
        <f ca="1" t="shared" si="15"/>
        <v/>
      </c>
      <c r="F905" s="3"/>
    </row>
    <row r="906" spans="1:6" ht="15">
      <c r="A906" s="125" t="str">
        <f ca="1" t="shared" si="15"/>
        <v/>
      </c>
      <c r="F906" s="3"/>
    </row>
    <row r="907" spans="1:6" ht="15">
      <c r="A907" s="125" t="str">
        <f ca="1" t="shared" si="15"/>
        <v/>
      </c>
      <c r="F907" s="3"/>
    </row>
    <row r="908" spans="1:6" ht="15">
      <c r="A908" s="125" t="str">
        <f ca="1" t="shared" si="15"/>
        <v/>
      </c>
      <c r="F908" s="3"/>
    </row>
    <row r="909" spans="1:6" ht="15">
      <c r="A909" s="125" t="str">
        <f ca="1" t="shared" si="15"/>
        <v/>
      </c>
      <c r="F909" s="3"/>
    </row>
    <row r="910" spans="1:6" ht="15">
      <c r="A910" s="125" t="str">
        <f ca="1" t="shared" si="15"/>
        <v/>
      </c>
      <c r="F910" s="3"/>
    </row>
    <row r="911" spans="1:6" ht="15">
      <c r="A911" s="125" t="str">
        <f ca="1" t="shared" si="15"/>
        <v/>
      </c>
      <c r="F911" s="3"/>
    </row>
    <row r="912" spans="1:6" ht="15">
      <c r="A912" s="125" t="str">
        <f ca="1" t="shared" si="15"/>
        <v/>
      </c>
      <c r="F912" s="3"/>
    </row>
    <row r="913" spans="1:6" ht="15">
      <c r="A913" s="125" t="str">
        <f ca="1" t="shared" si="15"/>
        <v/>
      </c>
      <c r="F913" s="3"/>
    </row>
    <row r="914" spans="1:6" ht="15">
      <c r="A914" s="125" t="str">
        <f ca="1" t="shared" si="15"/>
        <v/>
      </c>
      <c r="F914" s="3"/>
    </row>
    <row r="915" spans="1:6" ht="15">
      <c r="A915" s="125" t="str">
        <f ca="1" t="shared" si="15"/>
        <v/>
      </c>
      <c r="F915" s="3"/>
    </row>
    <row r="916" spans="1:6" ht="15">
      <c r="A916" s="125" t="str">
        <f ca="1" t="shared" si="15"/>
        <v/>
      </c>
      <c r="F916" s="3"/>
    </row>
    <row r="917" spans="1:6" ht="15">
      <c r="A917" s="125" t="str">
        <f ca="1" t="shared" si="15"/>
        <v/>
      </c>
      <c r="F917" s="3"/>
    </row>
    <row r="918" spans="1:6" ht="15">
      <c r="A918" s="125" t="str">
        <f ca="1" t="shared" si="15"/>
        <v/>
      </c>
      <c r="F918" s="3"/>
    </row>
    <row r="919" spans="1:6" ht="15">
      <c r="A919" s="125" t="str">
        <f ca="1" t="shared" si="15"/>
        <v/>
      </c>
      <c r="F919" s="3"/>
    </row>
    <row r="920" spans="1:6" ht="15">
      <c r="A920" s="125" t="str">
        <f ca="1" t="shared" si="15"/>
        <v/>
      </c>
      <c r="F920" s="3"/>
    </row>
    <row r="921" spans="1:6" ht="15">
      <c r="A921" s="125" t="str">
        <f ca="1" t="shared" si="15"/>
        <v/>
      </c>
      <c r="F921" s="3"/>
    </row>
    <row r="922" spans="1:6" ht="15">
      <c r="A922" s="125" t="str">
        <f ca="1" t="shared" si="15"/>
        <v/>
      </c>
      <c r="F922" s="3"/>
    </row>
    <row r="923" spans="1:6" ht="15">
      <c r="A923" s="125" t="str">
        <f ca="1" t="shared" si="15"/>
        <v/>
      </c>
      <c r="F923" s="3"/>
    </row>
    <row r="924" spans="1:6" ht="15">
      <c r="A924" s="125" t="str">
        <f ca="1" t="shared" si="15"/>
        <v/>
      </c>
      <c r="F924" s="3"/>
    </row>
    <row r="925" spans="1:6" ht="15">
      <c r="A925" s="125" t="str">
        <f ca="1" t="shared" si="15"/>
        <v/>
      </c>
      <c r="F925" s="3"/>
    </row>
    <row r="926" spans="1:6" ht="15">
      <c r="A926" s="125" t="str">
        <f ca="1" t="shared" si="15"/>
        <v/>
      </c>
      <c r="F926" s="3"/>
    </row>
    <row r="927" spans="1:6" ht="15">
      <c r="A927" s="125" t="str">
        <f ca="1" t="shared" si="15"/>
        <v/>
      </c>
      <c r="F927" s="3"/>
    </row>
    <row r="928" spans="1:6" ht="15">
      <c r="A928" s="125" t="str">
        <f ca="1" t="shared" si="15"/>
        <v/>
      </c>
      <c r="F928" s="3"/>
    </row>
    <row r="929" spans="1:6" ht="15">
      <c r="A929" s="125" t="str">
        <f ca="1" t="shared" si="15"/>
        <v/>
      </c>
      <c r="F929" s="3"/>
    </row>
    <row r="930" spans="1:6" ht="15">
      <c r="A930" s="125" t="str">
        <f ca="1" t="shared" si="15"/>
        <v/>
      </c>
      <c r="F930" s="3"/>
    </row>
    <row r="931" spans="1:6" ht="15">
      <c r="A931" s="125" t="str">
        <f ca="1" t="shared" si="15"/>
        <v/>
      </c>
      <c r="F931" s="3"/>
    </row>
    <row r="932" spans="1:6" ht="15">
      <c r="A932" s="125" t="str">
        <f ca="1" t="shared" si="15"/>
        <v/>
      </c>
      <c r="F932" s="3"/>
    </row>
    <row r="933" spans="1:6" ht="15">
      <c r="A933" s="125" t="str">
        <f ca="1" t="shared" si="15"/>
        <v/>
      </c>
      <c r="F933" s="3"/>
    </row>
    <row r="934" spans="1:6" ht="15">
      <c r="A934" s="125" t="str">
        <f ca="1" t="shared" si="15"/>
        <v/>
      </c>
      <c r="F934" s="3"/>
    </row>
    <row r="935" spans="1:6" ht="15">
      <c r="A935" s="125" t="str">
        <f ca="1" t="shared" si="15"/>
        <v/>
      </c>
      <c r="F935" s="3"/>
    </row>
    <row r="936" spans="1:6" ht="15">
      <c r="A936" s="125" t="str">
        <f ca="1" t="shared" si="15"/>
        <v/>
      </c>
      <c r="F936" s="3"/>
    </row>
    <row r="937" spans="1:6" ht="15">
      <c r="A937" s="125" t="str">
        <f ca="1" t="shared" si="15"/>
        <v/>
      </c>
      <c r="F937" s="3"/>
    </row>
    <row r="938" spans="1:6" ht="15">
      <c r="A938" s="125" t="str">
        <f ca="1" t="shared" si="15"/>
        <v/>
      </c>
      <c r="F938" s="3"/>
    </row>
    <row r="939" spans="1:6" ht="15">
      <c r="A939" s="125" t="str">
        <f ca="1" t="shared" si="15"/>
        <v/>
      </c>
      <c r="F939" s="3"/>
    </row>
    <row r="940" spans="1:6" ht="15">
      <c r="A940" s="125" t="str">
        <f ca="1" t="shared" si="15"/>
        <v/>
      </c>
      <c r="F940" s="3"/>
    </row>
    <row r="941" spans="1:6" ht="15">
      <c r="A941" s="125" t="str">
        <f ca="1" t="shared" si="15"/>
        <v/>
      </c>
      <c r="F941" s="3"/>
    </row>
    <row r="942" spans="1:6" ht="15">
      <c r="A942" s="125" t="str">
        <f ca="1" t="shared" si="15"/>
        <v/>
      </c>
      <c r="F942" s="3"/>
    </row>
    <row r="943" spans="1:6" ht="15">
      <c r="A943" s="125" t="str">
        <f ca="1" t="shared" si="15"/>
        <v/>
      </c>
      <c r="F943" s="3"/>
    </row>
    <row r="944" spans="1:6" ht="15">
      <c r="A944" s="125" t="str">
        <f ca="1" t="shared" si="15"/>
        <v/>
      </c>
      <c r="F944" s="3"/>
    </row>
    <row r="945" spans="1:6" ht="15">
      <c r="A945" s="125" t="str">
        <f ca="1" t="shared" si="15"/>
        <v/>
      </c>
      <c r="F945" s="3"/>
    </row>
    <row r="946" spans="1:6" ht="15">
      <c r="A946" s="125" t="str">
        <f ca="1" t="shared" si="15"/>
        <v/>
      </c>
      <c r="F946" s="3"/>
    </row>
    <row r="947" spans="1:6" ht="15">
      <c r="A947" s="125" t="str">
        <f ca="1" t="shared" si="15"/>
        <v/>
      </c>
      <c r="F947" s="3"/>
    </row>
    <row r="948" spans="1:6" ht="15">
      <c r="A948" s="125" t="str">
        <f ca="1" t="shared" si="15"/>
        <v/>
      </c>
      <c r="F948" s="3"/>
    </row>
    <row r="949" spans="1:6" ht="15">
      <c r="A949" s="125" t="str">
        <f ca="1" t="shared" si="15"/>
        <v/>
      </c>
      <c r="F949" s="3"/>
    </row>
    <row r="950" spans="1:6" ht="15">
      <c r="A950" s="125" t="str">
        <f ca="1" t="shared" si="15"/>
        <v/>
      </c>
      <c r="F950" s="3"/>
    </row>
    <row r="951" spans="1:6" ht="15">
      <c r="A951" s="125" t="str">
        <f ca="1" t="shared" si="15"/>
        <v/>
      </c>
      <c r="F951" s="3"/>
    </row>
    <row r="952" spans="1:6" ht="15">
      <c r="A952" s="125" t="str">
        <f ca="1" t="shared" si="15"/>
        <v/>
      </c>
      <c r="F952" s="3"/>
    </row>
    <row r="953" spans="1:6" ht="15">
      <c r="A953" s="125" t="str">
        <f ca="1" t="shared" si="15"/>
        <v/>
      </c>
      <c r="F953" s="3"/>
    </row>
    <row r="954" spans="1:6" ht="15">
      <c r="A954" s="125" t="str">
        <f ca="1" t="shared" si="15"/>
        <v/>
      </c>
      <c r="F954" s="3"/>
    </row>
    <row r="955" spans="1:6" ht="15">
      <c r="A955" s="125" t="str">
        <f ca="1" t="shared" si="15"/>
        <v/>
      </c>
      <c r="F955" s="3"/>
    </row>
    <row r="956" spans="1:6" ht="15">
      <c r="A956" s="125" t="str">
        <f ca="1" t="shared" si="15"/>
        <v/>
      </c>
      <c r="F956" s="3"/>
    </row>
    <row r="957" spans="1:6" ht="15">
      <c r="A957" s="125" t="str">
        <f ca="1" t="shared" si="15"/>
        <v/>
      </c>
      <c r="F957" s="3"/>
    </row>
    <row r="958" spans="1:6" ht="15">
      <c r="A958" s="125" t="str">
        <f ca="1" t="shared" si="15"/>
        <v/>
      </c>
      <c r="F958" s="3"/>
    </row>
    <row r="959" spans="1:6" ht="15">
      <c r="A959" s="125" t="str">
        <f ca="1" t="shared" si="15"/>
        <v/>
      </c>
      <c r="F959" s="3"/>
    </row>
    <row r="960" spans="1:6" ht="15">
      <c r="A960" s="125" t="str">
        <f aca="true" t="shared" si="16" ref="A960:A995">IF(ISBLANK(B960),"",(TODAY()-B960)/30)</f>
        <v/>
      </c>
      <c r="F960" s="3"/>
    </row>
    <row r="961" spans="1:6" ht="15">
      <c r="A961" s="125" t="str">
        <f ca="1" t="shared" si="16"/>
        <v/>
      </c>
      <c r="F961" s="3"/>
    </row>
    <row r="962" spans="1:6" ht="15">
      <c r="A962" s="125" t="str">
        <f ca="1" t="shared" si="16"/>
        <v/>
      </c>
      <c r="F962" s="3"/>
    </row>
    <row r="963" spans="1:6" ht="15">
      <c r="A963" s="125" t="str">
        <f ca="1" t="shared" si="16"/>
        <v/>
      </c>
      <c r="F963" s="3"/>
    </row>
    <row r="964" spans="1:6" ht="15">
      <c r="A964" s="125" t="str">
        <f ca="1" t="shared" si="16"/>
        <v/>
      </c>
      <c r="F964" s="3"/>
    </row>
    <row r="965" spans="1:6" ht="15">
      <c r="A965" s="125" t="str">
        <f ca="1" t="shared" si="16"/>
        <v/>
      </c>
      <c r="F965" s="3"/>
    </row>
    <row r="966" spans="1:6" ht="15">
      <c r="A966" s="125" t="str">
        <f ca="1" t="shared" si="16"/>
        <v/>
      </c>
      <c r="F966" s="3"/>
    </row>
    <row r="967" spans="1:6" ht="15">
      <c r="A967" s="125" t="str">
        <f ca="1" t="shared" si="16"/>
        <v/>
      </c>
      <c r="F967" s="3"/>
    </row>
    <row r="968" spans="1:6" ht="15">
      <c r="A968" s="125" t="str">
        <f ca="1" t="shared" si="16"/>
        <v/>
      </c>
      <c r="F968" s="3"/>
    </row>
    <row r="969" spans="1:6" ht="15">
      <c r="A969" s="125" t="str">
        <f ca="1" t="shared" si="16"/>
        <v/>
      </c>
      <c r="F969" s="3"/>
    </row>
    <row r="970" spans="1:6" ht="15">
      <c r="A970" s="125" t="str">
        <f ca="1" t="shared" si="16"/>
        <v/>
      </c>
      <c r="F970" s="3"/>
    </row>
    <row r="971" spans="1:6" ht="15">
      <c r="A971" s="125" t="str">
        <f ca="1" t="shared" si="16"/>
        <v/>
      </c>
      <c r="F971" s="3"/>
    </row>
    <row r="972" spans="1:6" ht="15">
      <c r="A972" s="125" t="str">
        <f ca="1" t="shared" si="16"/>
        <v/>
      </c>
      <c r="F972" s="3"/>
    </row>
    <row r="973" spans="1:6" ht="15">
      <c r="A973" s="125" t="str">
        <f ca="1" t="shared" si="16"/>
        <v/>
      </c>
      <c r="F973" s="3"/>
    </row>
    <row r="974" spans="1:6" ht="15">
      <c r="A974" s="125" t="str">
        <f ca="1" t="shared" si="16"/>
        <v/>
      </c>
      <c r="F974" s="3"/>
    </row>
    <row r="975" spans="1:6" ht="15">
      <c r="A975" s="125" t="str">
        <f ca="1" t="shared" si="16"/>
        <v/>
      </c>
      <c r="F975" s="3"/>
    </row>
    <row r="976" spans="1:6" ht="15">
      <c r="A976" s="125" t="str">
        <f ca="1" t="shared" si="16"/>
        <v/>
      </c>
      <c r="F976" s="3"/>
    </row>
    <row r="977" spans="1:6" ht="15">
      <c r="A977" s="125" t="str">
        <f ca="1" t="shared" si="16"/>
        <v/>
      </c>
      <c r="F977" s="3"/>
    </row>
    <row r="978" spans="1:6" ht="15">
      <c r="A978" s="125" t="str">
        <f ca="1" t="shared" si="16"/>
        <v/>
      </c>
      <c r="F978" s="3"/>
    </row>
    <row r="979" spans="1:6" ht="15">
      <c r="A979" s="125" t="str">
        <f ca="1" t="shared" si="16"/>
        <v/>
      </c>
      <c r="F979" s="3"/>
    </row>
    <row r="980" spans="1:6" ht="15">
      <c r="A980" s="125" t="str">
        <f ca="1" t="shared" si="16"/>
        <v/>
      </c>
      <c r="F980" s="3"/>
    </row>
    <row r="981" spans="1:6" ht="15">
      <c r="A981" s="125" t="str">
        <f ca="1" t="shared" si="16"/>
        <v/>
      </c>
      <c r="F981" s="3"/>
    </row>
    <row r="982" spans="1:6" ht="15">
      <c r="A982" s="125" t="str">
        <f ca="1" t="shared" si="16"/>
        <v/>
      </c>
      <c r="F982" s="3"/>
    </row>
    <row r="983" spans="1:6" ht="15">
      <c r="A983" s="125" t="str">
        <f ca="1" t="shared" si="16"/>
        <v/>
      </c>
      <c r="F983" s="3"/>
    </row>
    <row r="984" spans="1:6" ht="15">
      <c r="A984" s="125" t="str">
        <f ca="1" t="shared" si="16"/>
        <v/>
      </c>
      <c r="F984" s="3"/>
    </row>
    <row r="985" spans="1:6" ht="15">
      <c r="A985" s="125" t="str">
        <f ca="1" t="shared" si="16"/>
        <v/>
      </c>
      <c r="F985" s="3"/>
    </row>
    <row r="986" spans="1:6" ht="15">
      <c r="A986" s="125" t="str">
        <f ca="1" t="shared" si="16"/>
        <v/>
      </c>
      <c r="F986" s="3"/>
    </row>
    <row r="987" spans="1:6" ht="15">
      <c r="A987" s="125" t="str">
        <f ca="1" t="shared" si="16"/>
        <v/>
      </c>
      <c r="F987" s="3"/>
    </row>
    <row r="988" spans="1:6" ht="15">
      <c r="A988" s="125" t="str">
        <f ca="1" t="shared" si="16"/>
        <v/>
      </c>
      <c r="F988" s="3"/>
    </row>
    <row r="989" spans="1:6" ht="15">
      <c r="A989" s="125" t="str">
        <f ca="1" t="shared" si="16"/>
        <v/>
      </c>
      <c r="F989" s="3"/>
    </row>
    <row r="990" spans="1:6" ht="15">
      <c r="A990" s="125" t="str">
        <f ca="1" t="shared" si="16"/>
        <v/>
      </c>
      <c r="F990" s="3"/>
    </row>
    <row r="991" spans="1:6" ht="15">
      <c r="A991" s="125" t="str">
        <f ca="1" t="shared" si="16"/>
        <v/>
      </c>
      <c r="F991" s="3"/>
    </row>
    <row r="992" spans="1:6" ht="15">
      <c r="A992" s="125" t="str">
        <f ca="1" t="shared" si="16"/>
        <v/>
      </c>
      <c r="F992" s="3"/>
    </row>
    <row r="993" spans="1:6" ht="15">
      <c r="A993" s="125" t="str">
        <f ca="1" t="shared" si="16"/>
        <v/>
      </c>
      <c r="F993" s="3"/>
    </row>
    <row r="994" spans="1:6" ht="15">
      <c r="A994" s="125" t="str">
        <f ca="1" t="shared" si="16"/>
        <v/>
      </c>
      <c r="F994" s="3"/>
    </row>
    <row r="995" spans="1:6" ht="15">
      <c r="A995" s="125" t="str">
        <f ca="1" t="shared" si="16"/>
        <v/>
      </c>
      <c r="F995" s="3"/>
    </row>
    <row r="996" ht="15">
      <c r="F996" s="3"/>
    </row>
    <row r="997" ht="15">
      <c r="F997" s="3"/>
    </row>
  </sheetData>
  <mergeCells count="2">
    <mergeCell ref="A4:C4"/>
    <mergeCell ref="A3:C3"/>
  </mergeCells>
  <dataValidations count="12">
    <dataValidation type="list" showInputMessage="1" showErrorMessage="1" sqref="F165:F221 G104:G221 F36:F157 G36:G100 F222:G997 G7:G17">
      <formula1>INDIRECT(E7)</formula1>
    </dataValidation>
    <dataValidation type="list" showInputMessage="1" showErrorMessage="1" sqref="G102:G103 F158:F164">
      <formula1>INDIRECT(E101)</formula1>
    </dataValidation>
    <dataValidation type="list" allowBlank="1" showInputMessage="1" showErrorMessage="1" sqref="G18:G35">
      <formula1>INDIRECT(F18)</formula1>
    </dataValidation>
    <dataValidation type="list" allowBlank="1" showInputMessage="1" showErrorMessage="1" sqref="F18:F35">
      <formula1>Townships</formula1>
    </dataValidation>
    <dataValidation type="list" allowBlank="1" showInputMessage="1" showErrorMessage="1" sqref="C6:C35">
      <formula1>Agency1</formula1>
    </dataValidation>
    <dataValidation type="list" showInputMessage="1" showErrorMessage="1" sqref="G6">
      <formula1>INDIRECT($D$2)</formula1>
    </dataValidation>
    <dataValidation type="list" allowBlank="1" showInputMessage="1" showErrorMessage="1" sqref="E204:E221">
      <formula1>[5]list!#REF!</formula1>
    </dataValidation>
    <dataValidation type="list" allowBlank="1" showInputMessage="1" showErrorMessage="1" sqref="E36:E203">
      <formula1>[3]list!#REF!</formula1>
    </dataValidation>
    <dataValidation type="list" allowBlank="1" showInputMessage="1" showErrorMessage="1" sqref="E222:E997">
      <formula1>list!$A$2:$A$3</formula1>
    </dataValidation>
    <dataValidation type="list" allowBlank="1" showInputMessage="1" showErrorMessage="1" sqref="E24:E35">
      <formula1>'[6]List-'!#REF!</formula1>
    </dataValidation>
    <dataValidation type="list" allowBlank="1" showInputMessage="1" showErrorMessage="1" sqref="E6:E23 D6:D17">
      <formula1>'[6]List-'!#REF!</formula1>
    </dataValidation>
    <dataValidation type="list" showInputMessage="1" showErrorMessage="1" sqref="F6:F17">
      <formula1>'[6]List-'!#REF!</formula1>
    </dataValidation>
  </dataValidations>
  <printOptions gridLines="1"/>
  <pageMargins left="0.25" right="0.25" top="0.75" bottom="0.75" header="0.3" footer="0.3"/>
  <pageSetup fitToHeight="1" fitToWidth="1" horizontalDpi="600" verticalDpi="600" orientation="landscape" paperSize="9" scale="99" r:id="rId3"/>
  <drawing r:id="rId2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G38"/>
  <sheetViews>
    <sheetView showZeros="0" zoomScale="60" zoomScaleNormal="60" workbookViewId="0" topLeftCell="A1">
      <selection activeCell="W18" sqref="W18"/>
    </sheetView>
  </sheetViews>
  <sheetFormatPr defaultColWidth="5.00390625" defaultRowHeight="51.75" customHeight="1"/>
  <cols>
    <col min="1" max="1" width="11.28125" style="0" customWidth="1"/>
    <col min="2" max="2" width="13.7109375" style="0" customWidth="1"/>
    <col min="3" max="3" width="12.421875" style="0" customWidth="1"/>
    <col min="4" max="4" width="15.00390625" style="0" customWidth="1"/>
    <col min="5" max="5" width="12.28125" style="0" customWidth="1"/>
    <col min="6" max="6" width="8.8515625" style="205" customWidth="1"/>
    <col min="7" max="7" width="8.8515625" style="2" customWidth="1"/>
    <col min="8" max="8" width="8.8515625" style="206" customWidth="1"/>
    <col min="9" max="9" width="8.8515625" style="205" customWidth="1"/>
    <col min="10" max="10" width="8.8515625" style="2" customWidth="1"/>
    <col min="11" max="11" width="8.8515625" style="206" customWidth="1"/>
    <col min="12" max="12" width="8.8515625" style="205" customWidth="1"/>
    <col min="13" max="13" width="8.8515625" style="2" customWidth="1"/>
    <col min="14" max="14" width="8.8515625" style="206" customWidth="1"/>
    <col min="15" max="15" width="8.8515625" style="205" customWidth="1"/>
    <col min="16" max="17" width="8.8515625" style="2" customWidth="1"/>
    <col min="18" max="18" width="8.8515625" style="205" customWidth="1"/>
    <col min="19" max="19" width="8.8515625" style="2" customWidth="1"/>
    <col min="20" max="20" width="8.8515625" style="206" customWidth="1"/>
    <col min="21" max="21" width="8.8515625" style="0" customWidth="1"/>
    <col min="22" max="23" width="8.8515625" style="130" customWidth="1"/>
    <col min="24" max="24" width="8.8515625" style="205" customWidth="1"/>
    <col min="25" max="25" width="8.8515625" style="2" customWidth="1"/>
    <col min="26" max="26" width="8.8515625" style="206" customWidth="1"/>
    <col min="27" max="27" width="8.8515625" style="205" customWidth="1"/>
    <col min="28" max="28" width="8.8515625" style="2" customWidth="1"/>
    <col min="29" max="29" width="8.8515625" style="206" customWidth="1"/>
  </cols>
  <sheetData>
    <row r="1" spans="1:59" s="2" customFormat="1" ht="36">
      <c r="A1" s="282"/>
      <c r="B1" s="282"/>
      <c r="C1" s="282"/>
      <c r="D1" s="282"/>
      <c r="E1" s="282"/>
      <c r="F1" s="282"/>
      <c r="G1" s="282"/>
      <c r="H1" s="282"/>
      <c r="I1" s="29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BF1" s="283"/>
      <c r="BG1" s="283"/>
    </row>
    <row r="2" spans="1:59" s="2" customFormat="1" ht="36">
      <c r="A2" s="282" t="s">
        <v>1270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BF2" s="283"/>
      <c r="BG2" s="283"/>
    </row>
    <row r="3" spans="1:59" s="39" customFormat="1" ht="18" customHeight="1">
      <c r="A3" s="328" t="str">
        <f>Report_Date</f>
        <v>Juin 2013</v>
      </c>
      <c r="B3" s="328"/>
      <c r="C3" s="328"/>
      <c r="D3" s="182"/>
      <c r="E3" s="182"/>
      <c r="F3" s="182"/>
      <c r="G3" s="182"/>
      <c r="H3" s="182"/>
      <c r="I3" s="182"/>
      <c r="J3" s="182"/>
      <c r="L3" s="182"/>
      <c r="M3" s="182"/>
      <c r="N3" s="182"/>
      <c r="O3" s="182"/>
      <c r="P3" s="182"/>
      <c r="Q3" s="182"/>
      <c r="R3" s="182"/>
      <c r="S3" s="284"/>
      <c r="T3" s="182"/>
      <c r="U3" s="182"/>
      <c r="BF3" s="284"/>
      <c r="BG3" s="284"/>
    </row>
    <row r="4" s="238" customFormat="1" ht="15.75" customHeight="1" thickBot="1"/>
    <row r="5" spans="1:29" s="174" customFormat="1" ht="51.75" customHeight="1">
      <c r="A5" s="354" t="s">
        <v>804</v>
      </c>
      <c r="B5" s="354" t="s">
        <v>797</v>
      </c>
      <c r="C5" s="201"/>
      <c r="D5" s="354" t="s">
        <v>451</v>
      </c>
      <c r="E5" s="354" t="s">
        <v>1</v>
      </c>
      <c r="F5" s="350" t="s">
        <v>798</v>
      </c>
      <c r="G5" s="351"/>
      <c r="H5" s="352"/>
      <c r="I5" s="364" t="s">
        <v>799</v>
      </c>
      <c r="J5" s="365"/>
      <c r="K5" s="366"/>
      <c r="L5" s="361" t="s">
        <v>800</v>
      </c>
      <c r="M5" s="362"/>
      <c r="N5" s="363"/>
      <c r="O5" s="358" t="s">
        <v>801</v>
      </c>
      <c r="P5" s="359"/>
      <c r="Q5" s="360"/>
      <c r="R5" s="355" t="s">
        <v>802</v>
      </c>
      <c r="S5" s="356"/>
      <c r="T5" s="357"/>
      <c r="U5" s="353" t="s">
        <v>831</v>
      </c>
      <c r="V5" s="353"/>
      <c r="W5" s="353"/>
      <c r="X5" s="350" t="s">
        <v>832</v>
      </c>
      <c r="Y5" s="351"/>
      <c r="Z5" s="352"/>
      <c r="AA5" s="350" t="s">
        <v>988</v>
      </c>
      <c r="AB5" s="351"/>
      <c r="AC5" s="352"/>
    </row>
    <row r="6" spans="1:29" s="174" customFormat="1" ht="51.75" customHeight="1">
      <c r="A6" s="354"/>
      <c r="B6" s="354"/>
      <c r="C6" s="201" t="s">
        <v>808</v>
      </c>
      <c r="D6" s="354"/>
      <c r="E6" s="354"/>
      <c r="F6" s="202" t="s">
        <v>803</v>
      </c>
      <c r="G6" s="203" t="s">
        <v>805</v>
      </c>
      <c r="H6" s="204" t="s">
        <v>806</v>
      </c>
      <c r="I6" s="202" t="s">
        <v>803</v>
      </c>
      <c r="J6" s="203" t="s">
        <v>805</v>
      </c>
      <c r="K6" s="204" t="s">
        <v>806</v>
      </c>
      <c r="L6" s="202" t="s">
        <v>803</v>
      </c>
      <c r="M6" s="203" t="s">
        <v>805</v>
      </c>
      <c r="N6" s="204" t="s">
        <v>806</v>
      </c>
      <c r="O6" s="202" t="s">
        <v>803</v>
      </c>
      <c r="P6" s="203" t="s">
        <v>805</v>
      </c>
      <c r="Q6" s="203" t="s">
        <v>806</v>
      </c>
      <c r="R6" s="202" t="s">
        <v>803</v>
      </c>
      <c r="S6" s="203" t="s">
        <v>805</v>
      </c>
      <c r="T6" s="204" t="s">
        <v>806</v>
      </c>
      <c r="U6" s="174" t="s">
        <v>803</v>
      </c>
      <c r="V6" s="174" t="s">
        <v>805</v>
      </c>
      <c r="W6" s="174" t="s">
        <v>806</v>
      </c>
      <c r="X6" s="202" t="s">
        <v>803</v>
      </c>
      <c r="Y6" s="203" t="s">
        <v>805</v>
      </c>
      <c r="Z6" s="204" t="s">
        <v>806</v>
      </c>
      <c r="AA6" s="202" t="s">
        <v>803</v>
      </c>
      <c r="AB6" s="203" t="s">
        <v>805</v>
      </c>
      <c r="AC6" s="204" t="s">
        <v>806</v>
      </c>
    </row>
    <row r="7" spans="1:29" s="207" customFormat="1" ht="23.25" customHeight="1">
      <c r="A7" s="293">
        <v>41412</v>
      </c>
      <c r="B7" s="294" t="s">
        <v>960</v>
      </c>
      <c r="C7" s="294" t="s">
        <v>960</v>
      </c>
      <c r="D7" s="294" t="s">
        <v>434</v>
      </c>
      <c r="E7" s="208" t="s">
        <v>461</v>
      </c>
      <c r="F7" s="209"/>
      <c r="G7" s="210"/>
      <c r="H7" s="211"/>
      <c r="I7" s="209">
        <v>100</v>
      </c>
      <c r="J7" s="210"/>
      <c r="K7" s="211"/>
      <c r="L7" s="209"/>
      <c r="M7" s="210"/>
      <c r="N7" s="211"/>
      <c r="O7" s="209"/>
      <c r="P7" s="210"/>
      <c r="Q7" s="210"/>
      <c r="R7" s="209"/>
      <c r="S7" s="210"/>
      <c r="T7" s="211"/>
      <c r="X7" s="209"/>
      <c r="Y7" s="210"/>
      <c r="Z7" s="211"/>
      <c r="AA7" s="209"/>
      <c r="AB7" s="210"/>
      <c r="AC7" s="211"/>
    </row>
    <row r="8" spans="1:9" ht="23.25" customHeight="1">
      <c r="A8" s="293">
        <v>41456</v>
      </c>
      <c r="B8" s="294" t="s">
        <v>960</v>
      </c>
      <c r="C8" s="294" t="s">
        <v>960</v>
      </c>
      <c r="D8" s="294" t="s">
        <v>434</v>
      </c>
      <c r="E8" s="208" t="s">
        <v>452</v>
      </c>
      <c r="I8" s="205">
        <v>1074</v>
      </c>
    </row>
    <row r="9" spans="1:9" ht="23.25" customHeight="1">
      <c r="A9" s="293">
        <v>41456</v>
      </c>
      <c r="B9" s="294" t="s">
        <v>960</v>
      </c>
      <c r="C9" s="294" t="s">
        <v>960</v>
      </c>
      <c r="D9" s="294" t="s">
        <v>434</v>
      </c>
      <c r="E9" s="208" t="s">
        <v>453</v>
      </c>
      <c r="I9" s="205">
        <v>665</v>
      </c>
    </row>
    <row r="10" spans="1:8" ht="23.25" customHeight="1">
      <c r="A10" s="293">
        <v>41456</v>
      </c>
      <c r="B10" s="294" t="s">
        <v>963</v>
      </c>
      <c r="C10" s="294" t="s">
        <v>963</v>
      </c>
      <c r="D10" s="294" t="s">
        <v>434</v>
      </c>
      <c r="E10" s="208" t="s">
        <v>455</v>
      </c>
      <c r="G10" s="2">
        <v>900</v>
      </c>
      <c r="H10" s="206" t="s">
        <v>1255</v>
      </c>
    </row>
    <row r="11" spans="1:8" ht="23.25" customHeight="1">
      <c r="A11" s="293">
        <v>41456</v>
      </c>
      <c r="B11" s="294" t="s">
        <v>963</v>
      </c>
      <c r="C11" s="294" t="s">
        <v>963</v>
      </c>
      <c r="D11" s="294" t="s">
        <v>434</v>
      </c>
      <c r="E11" s="208" t="s">
        <v>460</v>
      </c>
      <c r="G11" s="2">
        <v>400</v>
      </c>
      <c r="H11" s="206" t="s">
        <v>1255</v>
      </c>
    </row>
    <row r="12" spans="1:11" ht="23.25" customHeight="1">
      <c r="A12" s="293">
        <v>41456</v>
      </c>
      <c r="B12" s="294" t="s">
        <v>1254</v>
      </c>
      <c r="C12" s="294" t="s">
        <v>1254</v>
      </c>
      <c r="D12" s="294" t="s">
        <v>434</v>
      </c>
      <c r="E12" s="208" t="s">
        <v>460</v>
      </c>
      <c r="H12" s="237"/>
      <c r="J12" s="2">
        <v>1850</v>
      </c>
      <c r="K12" s="237">
        <v>41493</v>
      </c>
    </row>
    <row r="13" spans="1:8" ht="23.25" customHeight="1">
      <c r="A13" s="293">
        <v>41456</v>
      </c>
      <c r="B13" s="294" t="s">
        <v>1254</v>
      </c>
      <c r="C13" s="294" t="s">
        <v>1254</v>
      </c>
      <c r="D13" s="294" t="s">
        <v>434</v>
      </c>
      <c r="E13" s="208" t="s">
        <v>460</v>
      </c>
      <c r="G13" s="2">
        <v>20000</v>
      </c>
      <c r="H13" s="237">
        <v>41493</v>
      </c>
    </row>
    <row r="14" spans="1:11" ht="23.25" customHeight="1">
      <c r="A14" s="293">
        <v>41456</v>
      </c>
      <c r="B14" s="294" t="s">
        <v>961</v>
      </c>
      <c r="C14" s="294" t="s">
        <v>961</v>
      </c>
      <c r="D14" s="294" t="s">
        <v>434</v>
      </c>
      <c r="E14" s="208" t="s">
        <v>460</v>
      </c>
      <c r="J14" s="2">
        <v>3090</v>
      </c>
      <c r="K14" s="237">
        <v>41554</v>
      </c>
    </row>
    <row r="15" spans="1:5" ht="23.25" customHeight="1">
      <c r="A15" s="294"/>
      <c r="B15" s="294"/>
      <c r="C15" s="294"/>
      <c r="D15" s="294"/>
      <c r="E15" s="294"/>
    </row>
    <row r="16" spans="1:5" ht="23.25" customHeight="1">
      <c r="A16" s="294"/>
      <c r="B16" s="294"/>
      <c r="C16" s="294"/>
      <c r="D16" s="294"/>
      <c r="E16" s="294"/>
    </row>
    <row r="17" spans="1:5" ht="23.25" customHeight="1">
      <c r="A17" s="294"/>
      <c r="B17" s="294"/>
      <c r="C17" s="294"/>
      <c r="D17" s="294"/>
      <c r="E17" s="294"/>
    </row>
    <row r="18" spans="1:5" ht="23.25" customHeight="1">
      <c r="A18" s="294"/>
      <c r="B18" s="294"/>
      <c r="C18" s="294"/>
      <c r="D18" s="294"/>
      <c r="E18" s="294"/>
    </row>
    <row r="19" spans="1:5" ht="23.25" customHeight="1">
      <c r="A19" s="294"/>
      <c r="B19" s="294"/>
      <c r="C19" s="294"/>
      <c r="D19" s="294"/>
      <c r="E19" s="294"/>
    </row>
    <row r="20" spans="1:5" ht="23.25" customHeight="1">
      <c r="A20" s="294"/>
      <c r="B20" s="294"/>
      <c r="C20" s="294"/>
      <c r="D20" s="294"/>
      <c r="E20" s="294"/>
    </row>
    <row r="21" spans="1:5" ht="23.25" customHeight="1">
      <c r="A21" s="294"/>
      <c r="B21" s="294"/>
      <c r="C21" s="294"/>
      <c r="D21" s="294"/>
      <c r="E21" s="294"/>
    </row>
    <row r="22" spans="1:5" ht="23.25" customHeight="1">
      <c r="A22" s="294"/>
      <c r="B22" s="294"/>
      <c r="C22" s="294"/>
      <c r="D22" s="294"/>
      <c r="E22" s="294"/>
    </row>
    <row r="23" spans="1:5" ht="23.25" customHeight="1">
      <c r="A23" s="294"/>
      <c r="B23" s="294"/>
      <c r="C23" s="294"/>
      <c r="D23" s="294"/>
      <c r="E23" s="294"/>
    </row>
    <row r="24" spans="1:5" ht="23.25" customHeight="1">
      <c r="A24" s="294"/>
      <c r="B24" s="294"/>
      <c r="C24" s="294"/>
      <c r="D24" s="294"/>
      <c r="E24" s="294"/>
    </row>
    <row r="25" spans="1:5" ht="23.25" customHeight="1">
      <c r="A25" s="294"/>
      <c r="B25" s="294"/>
      <c r="C25" s="294"/>
      <c r="D25" s="294"/>
      <c r="E25" s="294"/>
    </row>
    <row r="26" spans="1:5" ht="23.25" customHeight="1">
      <c r="A26" s="294"/>
      <c r="B26" s="294"/>
      <c r="C26" s="294"/>
      <c r="D26" s="294"/>
      <c r="E26" s="294"/>
    </row>
    <row r="27" spans="1:5" ht="23.25" customHeight="1">
      <c r="A27" s="294"/>
      <c r="B27" s="294"/>
      <c r="C27" s="294"/>
      <c r="D27" s="294"/>
      <c r="E27" s="294"/>
    </row>
    <row r="28" spans="1:5" ht="23.25" customHeight="1">
      <c r="A28" s="294"/>
      <c r="B28" s="294"/>
      <c r="C28" s="294"/>
      <c r="D28" s="294"/>
      <c r="E28" s="294"/>
    </row>
    <row r="29" spans="1:5" ht="23.25" customHeight="1">
      <c r="A29" s="294"/>
      <c r="B29" s="294"/>
      <c r="C29" s="294"/>
      <c r="D29" s="294"/>
      <c r="E29" s="294"/>
    </row>
    <row r="30" spans="1:5" ht="23.25" customHeight="1">
      <c r="A30" s="294"/>
      <c r="B30" s="294"/>
      <c r="C30" s="294"/>
      <c r="D30" s="294"/>
      <c r="E30" s="294"/>
    </row>
    <row r="31" spans="1:5" ht="23.25" customHeight="1">
      <c r="A31" s="294"/>
      <c r="B31" s="294"/>
      <c r="C31" s="294"/>
      <c r="D31" s="294"/>
      <c r="E31" s="294"/>
    </row>
    <row r="32" spans="1:5" ht="23.25" customHeight="1">
      <c r="A32" s="294"/>
      <c r="B32" s="294"/>
      <c r="C32" s="294"/>
      <c r="D32" s="294"/>
      <c r="E32" s="294"/>
    </row>
    <row r="33" spans="1:5" ht="23.25" customHeight="1">
      <c r="A33" s="294"/>
      <c r="B33" s="294"/>
      <c r="C33" s="294"/>
      <c r="D33" s="294"/>
      <c r="E33" s="294"/>
    </row>
    <row r="34" spans="1:5" ht="51.75" customHeight="1">
      <c r="A34" s="294"/>
      <c r="B34" s="294"/>
      <c r="C34" s="294"/>
      <c r="D34" s="294"/>
      <c r="E34" s="294"/>
    </row>
    <row r="35" spans="1:5" ht="51.75" customHeight="1">
      <c r="A35" s="294"/>
      <c r="B35" s="294"/>
      <c r="C35" s="294"/>
      <c r="D35" s="294"/>
      <c r="E35" s="294"/>
    </row>
    <row r="36" spans="1:5" ht="51.75" customHeight="1">
      <c r="A36" s="294"/>
      <c r="B36" s="294"/>
      <c r="C36" s="294"/>
      <c r="D36" s="294"/>
      <c r="E36" s="294"/>
    </row>
    <row r="37" spans="1:5" ht="51.75" customHeight="1">
      <c r="A37" s="294"/>
      <c r="B37" s="294"/>
      <c r="C37" s="294"/>
      <c r="D37" s="294"/>
      <c r="E37" s="294"/>
    </row>
    <row r="38" spans="1:5" ht="51.75" customHeight="1">
      <c r="A38" s="294"/>
      <c r="B38" s="294"/>
      <c r="C38" s="294"/>
      <c r="D38" s="294"/>
      <c r="E38" s="294"/>
    </row>
  </sheetData>
  <mergeCells count="13">
    <mergeCell ref="A3:C3"/>
    <mergeCell ref="AA5:AC5"/>
    <mergeCell ref="X5:Z5"/>
    <mergeCell ref="U5:W5"/>
    <mergeCell ref="E5:E6"/>
    <mergeCell ref="D5:D6"/>
    <mergeCell ref="B5:B6"/>
    <mergeCell ref="A5:A6"/>
    <mergeCell ref="R5:T5"/>
    <mergeCell ref="O5:Q5"/>
    <mergeCell ref="L5:N5"/>
    <mergeCell ref="F5:H5"/>
    <mergeCell ref="I5:K5"/>
  </mergeCells>
  <dataValidations count="4">
    <dataValidation type="list" showInputMessage="1" showErrorMessage="1" sqref="E8:E14">
      <formula1>INDIRECT(D8)</formula1>
    </dataValidation>
    <dataValidation type="list" allowBlank="1" showInputMessage="1" showErrorMessage="1" sqref="B7:C7">
      <formula1>'[6]List-'!#REF!</formula1>
    </dataValidation>
    <dataValidation type="list" showInputMessage="1" showErrorMessage="1" sqref="E7">
      <formula1>'[6]List-'!#REF!</formula1>
    </dataValidation>
    <dataValidation type="list" allowBlank="1" showInputMessage="1" showErrorMessage="1" sqref="D7:D8">
      <formula1>list!$A$2:$A$3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G41"/>
  <sheetViews>
    <sheetView showZeros="0" zoomScale="60" zoomScaleNormal="60" workbookViewId="0" topLeftCell="A1">
      <pane xSplit="1" ySplit="7" topLeftCell="B8" activePane="bottomRight" state="frozen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34.8515625" style="0" customWidth="1"/>
    <col min="2" max="2" width="18.421875" style="0" customWidth="1"/>
    <col min="3" max="3" width="19.8515625" style="0" customWidth="1"/>
    <col min="4" max="4" width="19.421875" style="0" customWidth="1"/>
    <col min="5" max="5" width="22.7109375" style="0" customWidth="1"/>
    <col min="6" max="6" width="15.8515625" style="0" customWidth="1"/>
    <col min="7" max="7" width="14.7109375" style="0" customWidth="1"/>
    <col min="8" max="8" width="19.421875" style="0" customWidth="1"/>
    <col min="9" max="9" width="28.7109375" style="0" customWidth="1"/>
  </cols>
  <sheetData>
    <row r="1" spans="1:59" s="2" customFormat="1" ht="36">
      <c r="A1" s="282"/>
      <c r="B1" s="282"/>
      <c r="C1" s="282"/>
      <c r="D1" s="282"/>
      <c r="E1" s="282"/>
      <c r="F1" s="282"/>
      <c r="G1" s="282"/>
      <c r="H1" s="282"/>
      <c r="I1" s="282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BF1" s="283"/>
      <c r="BG1" s="283"/>
    </row>
    <row r="2" spans="1:59" s="2" customFormat="1" ht="36">
      <c r="A2" s="282" t="s">
        <v>991</v>
      </c>
      <c r="B2" s="282"/>
      <c r="C2" s="282"/>
      <c r="D2" s="282"/>
      <c r="E2" s="282"/>
      <c r="F2" s="282"/>
      <c r="G2" s="282"/>
      <c r="H2" s="282"/>
      <c r="I2" s="282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BF2" s="283"/>
      <c r="BG2" s="283"/>
    </row>
    <row r="3" spans="1:59" s="39" customFormat="1" ht="18" customHeight="1">
      <c r="A3" s="328" t="str">
        <f>Report_Date</f>
        <v>Juin 2013</v>
      </c>
      <c r="B3" s="328"/>
      <c r="C3" s="328"/>
      <c r="D3" s="182"/>
      <c r="E3" s="182"/>
      <c r="F3" s="182"/>
      <c r="G3" s="182"/>
      <c r="H3" s="182"/>
      <c r="I3" s="182"/>
      <c r="J3" s="182"/>
      <c r="L3" s="182"/>
      <c r="M3" s="182"/>
      <c r="N3" s="182"/>
      <c r="O3" s="182"/>
      <c r="P3" s="182"/>
      <c r="Q3" s="182"/>
      <c r="R3" s="182"/>
      <c r="S3" s="284"/>
      <c r="T3" s="182"/>
      <c r="U3" s="182"/>
      <c r="BF3" s="284"/>
      <c r="BG3" s="284"/>
    </row>
    <row r="4" s="131" customFormat="1" ht="15" customHeight="1"/>
    <row r="5" ht="15">
      <c r="C5" s="11"/>
    </row>
    <row r="7" spans="1:9" ht="15">
      <c r="A7" s="155" t="s">
        <v>809</v>
      </c>
      <c r="B7" s="261" t="s">
        <v>1067</v>
      </c>
      <c r="C7" s="261" t="s">
        <v>1068</v>
      </c>
      <c r="D7" s="261" t="s">
        <v>1069</v>
      </c>
      <c r="E7" s="261" t="s">
        <v>1070</v>
      </c>
      <c r="F7" s="261" t="s">
        <v>1071</v>
      </c>
      <c r="G7" s="261" t="s">
        <v>1072</v>
      </c>
      <c r="H7" s="261" t="s">
        <v>1073</v>
      </c>
      <c r="I7" s="261" t="s">
        <v>1271</v>
      </c>
    </row>
    <row r="8" spans="1:9" ht="15">
      <c r="A8" s="68" t="s">
        <v>434</v>
      </c>
      <c r="B8" s="261">
        <v>38770</v>
      </c>
      <c r="C8" s="261">
        <v>3008</v>
      </c>
      <c r="D8" s="261">
        <v>15749</v>
      </c>
      <c r="E8" s="261">
        <v>1917</v>
      </c>
      <c r="F8" s="261">
        <v>20987</v>
      </c>
      <c r="G8" s="261">
        <v>4281</v>
      </c>
      <c r="H8" s="261"/>
      <c r="I8" s="261"/>
    </row>
    <row r="9" spans="1:9" ht="15">
      <c r="A9" s="156" t="s">
        <v>963</v>
      </c>
      <c r="B9" s="261">
        <v>2907</v>
      </c>
      <c r="C9" s="261"/>
      <c r="D9" s="261"/>
      <c r="E9" s="261"/>
      <c r="F9" s="261"/>
      <c r="G9" s="261"/>
      <c r="H9" s="261"/>
      <c r="I9" s="261"/>
    </row>
    <row r="10" spans="1:9" ht="15">
      <c r="A10" s="156" t="s">
        <v>964</v>
      </c>
      <c r="B10" s="261"/>
      <c r="C10" s="261"/>
      <c r="D10" s="261"/>
      <c r="E10" s="261"/>
      <c r="F10" s="261"/>
      <c r="G10" s="261">
        <v>700</v>
      </c>
      <c r="H10" s="261"/>
      <c r="I10" s="261"/>
    </row>
    <row r="11" spans="1:9" ht="15">
      <c r="A11" s="156" t="s">
        <v>961</v>
      </c>
      <c r="B11" s="261">
        <v>0</v>
      </c>
      <c r="C11" s="261">
        <v>1000</v>
      </c>
      <c r="D11" s="261"/>
      <c r="E11" s="261"/>
      <c r="F11" s="261"/>
      <c r="G11" s="261"/>
      <c r="H11" s="261"/>
      <c r="I11" s="261"/>
    </row>
    <row r="12" spans="1:9" ht="15">
      <c r="A12" s="156" t="s">
        <v>960</v>
      </c>
      <c r="B12" s="261">
        <v>0</v>
      </c>
      <c r="C12" s="261">
        <v>2008</v>
      </c>
      <c r="D12" s="261">
        <v>15689</v>
      </c>
      <c r="E12" s="261">
        <v>1917</v>
      </c>
      <c r="F12" s="261">
        <v>20987</v>
      </c>
      <c r="G12" s="261">
        <v>3581</v>
      </c>
      <c r="H12" s="261"/>
      <c r="I12" s="261"/>
    </row>
    <row r="13" spans="1:9" ht="15">
      <c r="A13" s="306" t="s">
        <v>456</v>
      </c>
      <c r="B13" s="262"/>
      <c r="C13" s="262">
        <v>1211</v>
      </c>
      <c r="D13" s="262"/>
      <c r="E13" s="262"/>
      <c r="F13" s="262">
        <v>979</v>
      </c>
      <c r="G13" s="262">
        <v>630</v>
      </c>
      <c r="H13" s="262"/>
      <c r="I13" s="262"/>
    </row>
    <row r="14" spans="1:9" ht="15">
      <c r="A14" s="306" t="s">
        <v>461</v>
      </c>
      <c r="B14" s="262">
        <v>0</v>
      </c>
      <c r="C14" s="262">
        <v>427</v>
      </c>
      <c r="D14" s="262">
        <v>3791</v>
      </c>
      <c r="E14" s="262">
        <v>1210</v>
      </c>
      <c r="F14" s="262">
        <v>1607</v>
      </c>
      <c r="G14" s="262">
        <v>0</v>
      </c>
      <c r="H14" s="262"/>
      <c r="I14" s="262"/>
    </row>
    <row r="15" spans="1:9" ht="15">
      <c r="A15" s="306" t="s">
        <v>454</v>
      </c>
      <c r="B15" s="262"/>
      <c r="C15" s="262"/>
      <c r="D15" s="262"/>
      <c r="E15" s="262"/>
      <c r="F15" s="262">
        <v>749</v>
      </c>
      <c r="G15" s="262"/>
      <c r="H15" s="262"/>
      <c r="I15" s="262"/>
    </row>
    <row r="16" spans="1:9" ht="15">
      <c r="A16" s="306" t="s">
        <v>452</v>
      </c>
      <c r="B16" s="262"/>
      <c r="C16" s="262"/>
      <c r="D16" s="262"/>
      <c r="E16" s="262"/>
      <c r="F16" s="262">
        <v>506</v>
      </c>
      <c r="G16" s="262">
        <v>607</v>
      </c>
      <c r="H16" s="262"/>
      <c r="I16" s="262"/>
    </row>
    <row r="17" spans="1:9" ht="15">
      <c r="A17" s="306" t="s">
        <v>453</v>
      </c>
      <c r="B17" s="262">
        <v>0</v>
      </c>
      <c r="C17" s="262">
        <v>10</v>
      </c>
      <c r="D17" s="262"/>
      <c r="E17" s="262"/>
      <c r="F17" s="262">
        <v>323</v>
      </c>
      <c r="G17" s="262">
        <v>500</v>
      </c>
      <c r="H17" s="262"/>
      <c r="I17" s="262"/>
    </row>
    <row r="18" spans="1:9" ht="15">
      <c r="A18" s="306" t="s">
        <v>455</v>
      </c>
      <c r="B18" s="262"/>
      <c r="C18" s="262"/>
      <c r="D18" s="262"/>
      <c r="E18" s="262"/>
      <c r="F18" s="262">
        <v>5555</v>
      </c>
      <c r="G18" s="262">
        <v>1365</v>
      </c>
      <c r="H18" s="262"/>
      <c r="I18" s="262"/>
    </row>
    <row r="19" spans="1:9" ht="15">
      <c r="A19" s="306" t="s">
        <v>457</v>
      </c>
      <c r="B19" s="262">
        <v>0</v>
      </c>
      <c r="C19" s="262">
        <v>360</v>
      </c>
      <c r="D19" s="262">
        <v>492</v>
      </c>
      <c r="E19" s="262">
        <v>707</v>
      </c>
      <c r="F19" s="262">
        <v>360</v>
      </c>
      <c r="G19" s="262">
        <v>0</v>
      </c>
      <c r="H19" s="262"/>
      <c r="I19" s="262"/>
    </row>
    <row r="20" spans="1:9" ht="15">
      <c r="A20" s="306" t="s">
        <v>460</v>
      </c>
      <c r="B20" s="262"/>
      <c r="C20" s="262"/>
      <c r="D20" s="262">
        <v>11406</v>
      </c>
      <c r="E20" s="262"/>
      <c r="F20" s="262">
        <v>10908</v>
      </c>
      <c r="G20" s="262">
        <v>479</v>
      </c>
      <c r="H20" s="262"/>
      <c r="I20" s="262"/>
    </row>
    <row r="21" spans="1:9" ht="15">
      <c r="A21" s="156" t="s">
        <v>962</v>
      </c>
      <c r="B21" s="261">
        <v>4229</v>
      </c>
      <c r="C21" s="261">
        <v>0</v>
      </c>
      <c r="D21" s="261"/>
      <c r="E21" s="261"/>
      <c r="F21" s="261"/>
      <c r="G21" s="261"/>
      <c r="H21" s="261"/>
      <c r="I21" s="261"/>
    </row>
    <row r="22" spans="1:9" ht="15">
      <c r="A22" s="156" t="s">
        <v>1248</v>
      </c>
      <c r="B22" s="261">
        <v>19235</v>
      </c>
      <c r="C22" s="261"/>
      <c r="D22" s="261"/>
      <c r="E22" s="261"/>
      <c r="F22" s="261"/>
      <c r="G22" s="261"/>
      <c r="H22" s="261"/>
      <c r="I22" s="261"/>
    </row>
    <row r="23" spans="1:9" ht="15">
      <c r="A23" s="306" t="s">
        <v>455</v>
      </c>
      <c r="B23" s="262">
        <v>7535</v>
      </c>
      <c r="C23" s="262"/>
      <c r="D23" s="262"/>
      <c r="E23" s="262"/>
      <c r="F23" s="262"/>
      <c r="G23" s="262"/>
      <c r="H23" s="262"/>
      <c r="I23" s="262"/>
    </row>
    <row r="24" spans="1:9" ht="15">
      <c r="A24" s="306" t="s">
        <v>460</v>
      </c>
      <c r="B24" s="262">
        <v>11700</v>
      </c>
      <c r="C24" s="262"/>
      <c r="D24" s="262"/>
      <c r="E24" s="262"/>
      <c r="F24" s="262"/>
      <c r="G24" s="262"/>
      <c r="H24" s="262"/>
      <c r="I24" s="262"/>
    </row>
    <row r="25" spans="1:9" ht="15">
      <c r="A25" s="156" t="s">
        <v>1249</v>
      </c>
      <c r="B25" s="261"/>
      <c r="C25" s="261"/>
      <c r="D25" s="261">
        <v>60</v>
      </c>
      <c r="E25" s="261"/>
      <c r="F25" s="261"/>
      <c r="G25" s="261"/>
      <c r="H25" s="261"/>
      <c r="I25" s="261"/>
    </row>
    <row r="26" spans="1:9" ht="15">
      <c r="A26" s="306" t="s">
        <v>456</v>
      </c>
      <c r="B26" s="262"/>
      <c r="C26" s="262"/>
      <c r="D26" s="262">
        <v>60</v>
      </c>
      <c r="E26" s="262"/>
      <c r="F26" s="262"/>
      <c r="G26" s="262"/>
      <c r="H26" s="262"/>
      <c r="I26" s="262"/>
    </row>
    <row r="27" spans="1:9" ht="15">
      <c r="A27" s="156" t="s">
        <v>1250</v>
      </c>
      <c r="B27" s="261">
        <v>350</v>
      </c>
      <c r="C27" s="261"/>
      <c r="D27" s="261"/>
      <c r="E27" s="261"/>
      <c r="F27" s="261"/>
      <c r="G27" s="261"/>
      <c r="H27" s="261"/>
      <c r="I27" s="261"/>
    </row>
    <row r="28" spans="1:9" ht="15">
      <c r="A28" s="306" t="s">
        <v>452</v>
      </c>
      <c r="B28" s="262">
        <v>50</v>
      </c>
      <c r="C28" s="262"/>
      <c r="D28" s="262"/>
      <c r="E28" s="262"/>
      <c r="F28" s="262"/>
      <c r="G28" s="262"/>
      <c r="H28" s="262"/>
      <c r="I28" s="262"/>
    </row>
    <row r="29" spans="1:9" ht="15">
      <c r="A29" s="306" t="s">
        <v>460</v>
      </c>
      <c r="B29" s="262">
        <v>300</v>
      </c>
      <c r="C29" s="262"/>
      <c r="D29" s="262"/>
      <c r="E29" s="262"/>
      <c r="F29" s="262"/>
      <c r="G29" s="262"/>
      <c r="H29" s="262"/>
      <c r="I29" s="262"/>
    </row>
    <row r="30" spans="1:9" ht="15">
      <c r="A30" s="156" t="s">
        <v>1251</v>
      </c>
      <c r="B30" s="261">
        <v>11307</v>
      </c>
      <c r="C30" s="261"/>
      <c r="D30" s="261"/>
      <c r="E30" s="261"/>
      <c r="F30" s="261"/>
      <c r="G30" s="261"/>
      <c r="H30" s="261"/>
      <c r="I30" s="261"/>
    </row>
    <row r="31" spans="1:9" ht="15">
      <c r="A31" s="306" t="s">
        <v>460</v>
      </c>
      <c r="B31" s="262">
        <v>11307</v>
      </c>
      <c r="C31" s="262"/>
      <c r="D31" s="262"/>
      <c r="E31" s="262"/>
      <c r="F31" s="262"/>
      <c r="G31" s="262"/>
      <c r="H31" s="262"/>
      <c r="I31" s="262"/>
    </row>
    <row r="32" spans="1:9" ht="15">
      <c r="A32" s="156" t="s">
        <v>1252</v>
      </c>
      <c r="B32" s="261">
        <v>742</v>
      </c>
      <c r="C32" s="261"/>
      <c r="D32" s="261"/>
      <c r="E32" s="261"/>
      <c r="F32" s="261"/>
      <c r="G32" s="261"/>
      <c r="H32" s="261"/>
      <c r="I32" s="261"/>
    </row>
    <row r="33" spans="1:9" ht="15">
      <c r="A33" s="306" t="s">
        <v>460</v>
      </c>
      <c r="B33" s="262">
        <v>742</v>
      </c>
      <c r="C33" s="262"/>
      <c r="D33" s="262"/>
      <c r="E33" s="262"/>
      <c r="F33" s="262"/>
      <c r="G33" s="262"/>
      <c r="H33" s="262"/>
      <c r="I33" s="262"/>
    </row>
    <row r="34" spans="1:9" ht="15">
      <c r="A34" s="68" t="s">
        <v>433</v>
      </c>
      <c r="B34" s="261"/>
      <c r="C34" s="261"/>
      <c r="D34" s="261">
        <v>4391</v>
      </c>
      <c r="E34" s="261">
        <v>1445</v>
      </c>
      <c r="F34" s="261">
        <v>939</v>
      </c>
      <c r="G34" s="261">
        <v>2351</v>
      </c>
      <c r="H34" s="261">
        <v>1025</v>
      </c>
      <c r="I34" s="261">
        <v>935</v>
      </c>
    </row>
    <row r="35" spans="1:9" ht="15">
      <c r="A35" s="156" t="s">
        <v>960</v>
      </c>
      <c r="B35" s="261"/>
      <c r="C35" s="261"/>
      <c r="D35" s="261">
        <v>4391</v>
      </c>
      <c r="E35" s="261">
        <v>1445</v>
      </c>
      <c r="F35" s="261">
        <v>939</v>
      </c>
      <c r="G35" s="261">
        <v>2351</v>
      </c>
      <c r="H35" s="261">
        <v>1025</v>
      </c>
      <c r="I35" s="261">
        <v>935</v>
      </c>
    </row>
    <row r="36" spans="1:9" ht="15">
      <c r="A36" s="306" t="s">
        <v>7</v>
      </c>
      <c r="B36" s="262"/>
      <c r="C36" s="262"/>
      <c r="D36" s="262">
        <v>224</v>
      </c>
      <c r="E36" s="262">
        <v>123</v>
      </c>
      <c r="F36" s="262">
        <v>56</v>
      </c>
      <c r="G36" s="262">
        <v>123</v>
      </c>
      <c r="H36" s="262">
        <v>56</v>
      </c>
      <c r="I36" s="262">
        <v>56</v>
      </c>
    </row>
    <row r="37" spans="1:9" ht="15">
      <c r="A37" s="306" t="s">
        <v>29</v>
      </c>
      <c r="B37" s="262"/>
      <c r="C37" s="262"/>
      <c r="D37" s="262">
        <v>80</v>
      </c>
      <c r="E37" s="262">
        <v>84</v>
      </c>
      <c r="F37" s="262">
        <v>41</v>
      </c>
      <c r="G37" s="262">
        <v>84</v>
      </c>
      <c r="H37" s="262">
        <v>41</v>
      </c>
      <c r="I37" s="262">
        <v>41</v>
      </c>
    </row>
    <row r="38" spans="1:9" ht="15">
      <c r="A38" s="306" t="s">
        <v>41</v>
      </c>
      <c r="B38" s="262"/>
      <c r="C38" s="262"/>
      <c r="D38" s="262">
        <v>397</v>
      </c>
      <c r="E38" s="262">
        <v>540</v>
      </c>
      <c r="F38" s="262">
        <v>240</v>
      </c>
      <c r="G38" s="262">
        <v>540</v>
      </c>
      <c r="H38" s="262">
        <v>240</v>
      </c>
      <c r="I38" s="262">
        <v>240</v>
      </c>
    </row>
    <row r="39" spans="1:9" ht="15">
      <c r="A39" s="306" t="s">
        <v>189</v>
      </c>
      <c r="B39" s="262"/>
      <c r="C39" s="262"/>
      <c r="D39" s="262">
        <v>3672</v>
      </c>
      <c r="E39" s="262">
        <v>678</v>
      </c>
      <c r="F39" s="262">
        <v>588</v>
      </c>
      <c r="G39" s="262">
        <v>1584</v>
      </c>
      <c r="H39" s="262">
        <v>678</v>
      </c>
      <c r="I39" s="262">
        <v>588</v>
      </c>
    </row>
    <row r="40" spans="1:9" ht="15">
      <c r="A40" s="306" t="s">
        <v>316</v>
      </c>
      <c r="B40" s="262"/>
      <c r="C40" s="262"/>
      <c r="D40" s="262">
        <v>18</v>
      </c>
      <c r="E40" s="262">
        <v>20</v>
      </c>
      <c r="F40" s="262">
        <v>14</v>
      </c>
      <c r="G40" s="262">
        <v>20</v>
      </c>
      <c r="H40" s="262">
        <v>10</v>
      </c>
      <c r="I40" s="262">
        <v>10</v>
      </c>
    </row>
    <row r="41" spans="1:9" ht="15">
      <c r="A41" s="68" t="s">
        <v>810</v>
      </c>
      <c r="B41" s="261">
        <v>38770</v>
      </c>
      <c r="C41" s="261">
        <v>3008</v>
      </c>
      <c r="D41" s="261">
        <v>20140</v>
      </c>
      <c r="E41" s="261">
        <v>3362</v>
      </c>
      <c r="F41" s="261">
        <v>21926</v>
      </c>
      <c r="G41" s="261">
        <v>6632</v>
      </c>
      <c r="H41" s="261">
        <v>1025</v>
      </c>
      <c r="I41" s="261">
        <v>935</v>
      </c>
    </row>
  </sheetData>
  <mergeCells count="1">
    <mergeCell ref="A3:C3"/>
  </mergeCells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G44"/>
  <sheetViews>
    <sheetView showZeros="0" zoomScale="60" zoomScaleNormal="60" workbookViewId="0" topLeftCell="A1">
      <pane ySplit="2" topLeftCell="A3" activePane="bottomLeft" state="frozen"/>
      <selection pane="bottomLeft" activeCell="A1" sqref="A1"/>
    </sheetView>
  </sheetViews>
  <sheetFormatPr defaultColWidth="9.140625" defaultRowHeight="15"/>
  <cols>
    <col min="1" max="1" width="20.140625" style="0" customWidth="1"/>
    <col min="2" max="14" width="10.8515625" style="0" customWidth="1"/>
    <col min="15" max="15" width="12.00390625" style="0" customWidth="1"/>
    <col min="16" max="20" width="10.8515625" style="0" customWidth="1"/>
    <col min="21" max="21" width="18.421875" style="0" customWidth="1"/>
    <col min="22" max="22" width="47.57421875" style="0" bestFit="1" customWidth="1"/>
  </cols>
  <sheetData>
    <row r="1" spans="1:59" s="2" customFormat="1" ht="36">
      <c r="A1" s="282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BF1" s="283"/>
      <c r="BG1" s="283"/>
    </row>
    <row r="2" spans="1:59" s="2" customFormat="1" ht="36">
      <c r="A2" s="282" t="s">
        <v>990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BF2" s="283"/>
      <c r="BG2" s="283"/>
    </row>
    <row r="3" spans="1:59" s="39" customFormat="1" ht="18" customHeight="1">
      <c r="A3" s="328" t="str">
        <f>Report_Date</f>
        <v>Juin 2013</v>
      </c>
      <c r="B3" s="328"/>
      <c r="C3" s="328"/>
      <c r="D3" s="182"/>
      <c r="E3" s="182"/>
      <c r="F3" s="182"/>
      <c r="G3" s="182"/>
      <c r="H3" s="182"/>
      <c r="I3" s="182"/>
      <c r="J3" s="182"/>
      <c r="L3" s="182"/>
      <c r="M3" s="182"/>
      <c r="N3" s="182"/>
      <c r="O3" s="182"/>
      <c r="P3" s="182"/>
      <c r="Q3" s="182"/>
      <c r="R3" s="182"/>
      <c r="S3" s="284"/>
      <c r="T3" s="182"/>
      <c r="U3" s="182"/>
      <c r="BF3" s="284"/>
      <c r="BG3" s="284"/>
    </row>
    <row r="4" spans="1:59" s="39" customFormat="1" ht="64.5" customHeight="1">
      <c r="A4" s="295"/>
      <c r="B4" s="295"/>
      <c r="C4" s="295"/>
      <c r="D4" s="182"/>
      <c r="E4" s="182"/>
      <c r="F4" s="182"/>
      <c r="G4" s="182"/>
      <c r="H4" s="182"/>
      <c r="I4" s="182"/>
      <c r="J4" s="182"/>
      <c r="L4" s="182"/>
      <c r="M4" s="182"/>
      <c r="N4" s="182"/>
      <c r="O4" s="182"/>
      <c r="P4" s="182"/>
      <c r="Q4" s="182"/>
      <c r="R4" s="182"/>
      <c r="S4" s="284"/>
      <c r="T4" s="182"/>
      <c r="U4" s="182"/>
      <c r="BF4" s="284"/>
      <c r="BG4" s="284"/>
    </row>
    <row r="5" spans="1:26" s="238" customFormat="1" ht="31.5">
      <c r="A5" s="275" t="s">
        <v>434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</row>
    <row r="6" spans="1:20" ht="25.5" customHeight="1">
      <c r="A6" s="370" t="s">
        <v>1</v>
      </c>
      <c r="B6" s="370" t="s">
        <v>822</v>
      </c>
      <c r="C6" s="370" t="s">
        <v>823</v>
      </c>
      <c r="D6" s="367" t="s">
        <v>984</v>
      </c>
      <c r="E6" s="368"/>
      <c r="F6" s="368"/>
      <c r="G6" s="369"/>
      <c r="H6" s="367" t="s">
        <v>799</v>
      </c>
      <c r="I6" s="368"/>
      <c r="J6" s="368"/>
      <c r="K6" s="369"/>
      <c r="L6" s="367" t="s">
        <v>985</v>
      </c>
      <c r="M6" s="368"/>
      <c r="N6" s="368"/>
      <c r="O6" s="369"/>
      <c r="P6" s="23" t="s">
        <v>1025</v>
      </c>
      <c r="Q6" s="23" t="s">
        <v>987</v>
      </c>
      <c r="R6" s="23" t="s">
        <v>831</v>
      </c>
      <c r="S6" s="23" t="s">
        <v>832</v>
      </c>
      <c r="T6" s="23" t="s">
        <v>1030</v>
      </c>
    </row>
    <row r="7" spans="1:20" ht="41.25" customHeight="1">
      <c r="A7" s="370"/>
      <c r="B7" s="370"/>
      <c r="C7" s="370"/>
      <c r="D7" s="23" t="s">
        <v>833</v>
      </c>
      <c r="E7" s="23" t="s">
        <v>836</v>
      </c>
      <c r="F7" s="23" t="s">
        <v>805</v>
      </c>
      <c r="G7" s="34" t="s">
        <v>834</v>
      </c>
      <c r="H7" s="23" t="s">
        <v>833</v>
      </c>
      <c r="I7" s="23" t="s">
        <v>836</v>
      </c>
      <c r="J7" s="23" t="s">
        <v>805</v>
      </c>
      <c r="K7" s="34" t="s">
        <v>834</v>
      </c>
      <c r="L7" s="23" t="s">
        <v>833</v>
      </c>
      <c r="M7" s="23" t="s">
        <v>836</v>
      </c>
      <c r="N7" s="23" t="s">
        <v>805</v>
      </c>
      <c r="O7" s="34" t="s">
        <v>834</v>
      </c>
      <c r="P7" s="23" t="s">
        <v>833</v>
      </c>
      <c r="Q7" s="23" t="s">
        <v>833</v>
      </c>
      <c r="R7" s="23" t="s">
        <v>833</v>
      </c>
      <c r="S7" s="23" t="s">
        <v>833</v>
      </c>
      <c r="T7" s="23" t="s">
        <v>833</v>
      </c>
    </row>
    <row r="8" spans="1:20" ht="15">
      <c r="A8" s="26" t="s">
        <v>452</v>
      </c>
      <c r="B8" s="27">
        <f>SUMIF(Camplist_Township,NFIAnalysis!$A8,Camplist_HH)</f>
        <v>872</v>
      </c>
      <c r="C8" s="27">
        <f>SUMIF(Camplist_Township,NFIAnalysis!$A8,Camplist_Popl)</f>
        <v>5152</v>
      </c>
      <c r="D8" s="27">
        <f aca="true" t="shared" si="0" ref="D8:D17">SUMIF(NFI_Township,$A8,NFI_Hygiene_Track)</f>
        <v>0</v>
      </c>
      <c r="E8" s="257">
        <f aca="true" t="shared" si="1" ref="E8:E17">SUMIF(NFI_Pipeline_Township,$A8,NFI_Hygiene_Stock)</f>
        <v>0</v>
      </c>
      <c r="F8" s="257">
        <f>SUMIF(NFI_Pipeline_Township,$A6,NFI_Hygiene_Pipeline)</f>
        <v>0</v>
      </c>
      <c r="G8" s="258">
        <f ca="1">IF(B8-(D8+E8+F8)&lt;0,0,B8-(D8+E8+F8))</f>
        <v>872</v>
      </c>
      <c r="H8" s="257">
        <f aca="true" t="shared" si="2" ref="H8:H17">SUMIF(NFI_Township,$A8,NFI_Core_Track)</f>
        <v>0</v>
      </c>
      <c r="I8" s="257">
        <f aca="true" t="shared" si="3" ref="I8:I17">SUMIF(NFI_Pipeline_Township,$A8,NFI_Core_Stock)</f>
        <v>1074</v>
      </c>
      <c r="J8" s="257">
        <f>SUMIF(NFI_Pipeline_Township,$A6,NFI_Core_Pipeline)</f>
        <v>0</v>
      </c>
      <c r="K8" s="258">
        <f ca="1">IF(B8-(H8+I8+J8)&lt;0,0,B8-(H8+I8+J8))</f>
        <v>0</v>
      </c>
      <c r="L8" s="257">
        <f aca="true" t="shared" si="4" ref="L8:L17">SUMIF(NFI_Township,$A8,NFI_Sanitary_Track)</f>
        <v>0</v>
      </c>
      <c r="M8" s="257">
        <f aca="true" t="shared" si="5" ref="M8:M17">SUMIF(NFI_Pipeline_Township,$A8,NFI_Sanitary_Stock)</f>
        <v>0</v>
      </c>
      <c r="N8" s="257">
        <f aca="true" t="shared" si="6" ref="N8:N17">SUMIF(NFI_Pipeline_Township,$A6,NFI_Sanitary_Pipeline)</f>
        <v>0</v>
      </c>
      <c r="O8" s="258">
        <f ca="1">IF(B8-(L8+M8+N8)&lt;0,0,B8-(L8+M8+N8))</f>
        <v>872</v>
      </c>
      <c r="P8" s="257">
        <f aca="true" t="shared" si="7" ref="P8:P17">SUMIF(NFI_Township,$A8,NFI_Mosquito_Track)</f>
        <v>0</v>
      </c>
      <c r="Q8" s="257">
        <f aca="true" t="shared" si="8" ref="Q8:Q17">SUMIF(NFI_Township,$A8,NFI_Tarpaulin_Track)</f>
        <v>0</v>
      </c>
      <c r="R8" s="257">
        <f aca="true" t="shared" si="9" ref="R8:R17">SUMIF(NFI_Township,$A8,NFI_Blanket_Track)</f>
        <v>0</v>
      </c>
      <c r="S8" s="257">
        <f ca="1">SUMIF(NFI_Township,$A8,NFI_Kitchen_Track)</f>
        <v>0</v>
      </c>
      <c r="T8" s="257">
        <f aca="true" t="shared" si="10" ref="T8:T17">SUMIF(NFI_Township,$A8,NFI_Complementary_Track)</f>
        <v>0</v>
      </c>
    </row>
    <row r="9" spans="1:21" ht="15">
      <c r="A9" s="24" t="s">
        <v>453</v>
      </c>
      <c r="B9" s="27">
        <f>SUMIF(Camplist_Township,NFIAnalysis!$A9,Camplist_HH)</f>
        <v>643</v>
      </c>
      <c r="C9" s="27">
        <f>SUMIF(Camplist_Township,NFIAnalysis!$A9,Camplist_Popl)</f>
        <v>4135</v>
      </c>
      <c r="D9" s="27">
        <f ca="1" t="shared" si="0"/>
        <v>0</v>
      </c>
      <c r="E9" s="257">
        <f t="shared" si="1"/>
        <v>0</v>
      </c>
      <c r="F9" s="257">
        <f aca="true" t="shared" si="11" ref="F9:F17">SUMIF(NFI_Pipeline_Township,$A8,NFI_Hygiene_Pipeline)</f>
        <v>0</v>
      </c>
      <c r="G9" s="258">
        <f aca="true" t="shared" si="12" ref="G9:G17">IF(B9-(D9+E9+F9)&lt;0,0,B9-(D9+E9+F9))</f>
        <v>643</v>
      </c>
      <c r="H9" s="257">
        <f ca="1" t="shared" si="2"/>
        <v>0</v>
      </c>
      <c r="I9" s="257">
        <f>SUMIF(NFI_Pipeline_Township,$A9,NFI_Core_Stock)</f>
        <v>665</v>
      </c>
      <c r="J9" s="257">
        <f aca="true" t="shared" si="13" ref="J9:J17">SUMIF(NFI_Pipeline_Township,$A8,NFI_Core_Pipeline)</f>
        <v>0</v>
      </c>
      <c r="K9" s="258">
        <f aca="true" t="shared" si="14" ref="K9:K17">IF(B9-(H9+I9+J9)&lt;0,0,B9-(H9+I9+J9))</f>
        <v>0</v>
      </c>
      <c r="L9" s="257">
        <f ca="1" t="shared" si="4"/>
        <v>0</v>
      </c>
      <c r="M9" s="257">
        <f t="shared" si="5"/>
        <v>0</v>
      </c>
      <c r="N9" s="257">
        <f t="shared" si="6"/>
        <v>0</v>
      </c>
      <c r="O9" s="258">
        <f aca="true" t="shared" si="15" ref="O9:O17">IF(B9-(L9+M9+N9)&lt;0,0,B9-(L9+M9+N9))</f>
        <v>643</v>
      </c>
      <c r="P9" s="257">
        <f ca="1" t="shared" si="7"/>
        <v>0</v>
      </c>
      <c r="Q9" s="257">
        <f ca="1" t="shared" si="8"/>
        <v>0</v>
      </c>
      <c r="R9" s="257">
        <f ca="1" t="shared" si="9"/>
        <v>0</v>
      </c>
      <c r="S9" s="257">
        <f aca="true" t="shared" si="16" ref="S9:S17">SUMIF(NFI_Township,$A9,NFI_Kitchen_Track)</f>
        <v>0</v>
      </c>
      <c r="T9" s="257">
        <f ca="1" t="shared" si="10"/>
        <v>0</v>
      </c>
      <c r="U9" s="22"/>
    </row>
    <row r="10" spans="1:21" ht="15">
      <c r="A10" s="25" t="s">
        <v>454</v>
      </c>
      <c r="B10" s="27">
        <f>SUMIF(Camplist_Township,NFIAnalysis!$A10,Camplist_HH)</f>
        <v>749</v>
      </c>
      <c r="C10" s="27">
        <f>SUMIF(Camplist_Township,NFIAnalysis!$A10,Camplist_Popl)</f>
        <v>4169</v>
      </c>
      <c r="D10" s="27">
        <f ca="1" t="shared" si="0"/>
        <v>0</v>
      </c>
      <c r="E10" s="257">
        <f t="shared" si="1"/>
        <v>0</v>
      </c>
      <c r="F10" s="257">
        <f t="shared" si="11"/>
        <v>0</v>
      </c>
      <c r="G10" s="258">
        <f ca="1" t="shared" si="12"/>
        <v>749</v>
      </c>
      <c r="H10" s="257">
        <f ca="1" t="shared" si="2"/>
        <v>0</v>
      </c>
      <c r="I10" s="257">
        <f t="shared" si="3"/>
        <v>0</v>
      </c>
      <c r="J10" s="257">
        <f t="shared" si="13"/>
        <v>0</v>
      </c>
      <c r="K10" s="258">
        <f ca="1" t="shared" si="14"/>
        <v>749</v>
      </c>
      <c r="L10" s="257">
        <f ca="1" t="shared" si="4"/>
        <v>0</v>
      </c>
      <c r="M10" s="257">
        <f t="shared" si="5"/>
        <v>0</v>
      </c>
      <c r="N10" s="257">
        <f t="shared" si="6"/>
        <v>0</v>
      </c>
      <c r="O10" s="258">
        <f ca="1" t="shared" si="15"/>
        <v>749</v>
      </c>
      <c r="P10" s="257">
        <f ca="1" t="shared" si="7"/>
        <v>0</v>
      </c>
      <c r="Q10" s="257">
        <f ca="1" t="shared" si="8"/>
        <v>0</v>
      </c>
      <c r="R10" s="257">
        <f ca="1" t="shared" si="9"/>
        <v>0</v>
      </c>
      <c r="S10" s="257">
        <f ca="1" t="shared" si="16"/>
        <v>0</v>
      </c>
      <c r="T10" s="257">
        <f ca="1" t="shared" si="10"/>
        <v>0</v>
      </c>
      <c r="U10" s="8"/>
    </row>
    <row r="11" spans="1:21" ht="15">
      <c r="A11" s="25" t="s">
        <v>455</v>
      </c>
      <c r="B11" s="27">
        <f>SUMIF(Camplist_Township,NFIAnalysis!$A11,Camplist_HH)</f>
        <v>3736</v>
      </c>
      <c r="C11" s="27">
        <f>SUMIF(Camplist_Township,NFIAnalysis!$A11,Camplist_Popl)</f>
        <v>19976</v>
      </c>
      <c r="D11" s="27">
        <f ca="1" t="shared" si="0"/>
        <v>0</v>
      </c>
      <c r="E11" s="257">
        <f t="shared" si="1"/>
        <v>0</v>
      </c>
      <c r="F11" s="257">
        <f t="shared" si="11"/>
        <v>0</v>
      </c>
      <c r="G11" s="258">
        <f ca="1" t="shared" si="12"/>
        <v>3736</v>
      </c>
      <c r="H11" s="257">
        <f ca="1" t="shared" si="2"/>
        <v>0</v>
      </c>
      <c r="I11" s="257">
        <f>SUMIF(NFI_Pipeline_Township,$A11,NFI_Core_Stock)</f>
        <v>0</v>
      </c>
      <c r="J11" s="257">
        <f>SUMIF(NFI_Pipeline_Township,$A10,NFI_Core_Pipeline)</f>
        <v>0</v>
      </c>
      <c r="K11" s="258">
        <f ca="1" t="shared" si="14"/>
        <v>3736</v>
      </c>
      <c r="L11" s="257">
        <f ca="1" t="shared" si="4"/>
        <v>0</v>
      </c>
      <c r="M11" s="257">
        <f t="shared" si="5"/>
        <v>0</v>
      </c>
      <c r="N11" s="257">
        <f t="shared" si="6"/>
        <v>0</v>
      </c>
      <c r="O11" s="258">
        <f ca="1" t="shared" si="15"/>
        <v>3736</v>
      </c>
      <c r="P11" s="257">
        <f ca="1" t="shared" si="7"/>
        <v>0</v>
      </c>
      <c r="Q11" s="257">
        <f ca="1" t="shared" si="8"/>
        <v>0</v>
      </c>
      <c r="R11" s="257">
        <f ca="1" t="shared" si="9"/>
        <v>0</v>
      </c>
      <c r="S11" s="257">
        <f ca="1" t="shared" si="16"/>
        <v>0</v>
      </c>
      <c r="T11" s="257">
        <f ca="1" t="shared" si="10"/>
        <v>0</v>
      </c>
      <c r="U11" s="8"/>
    </row>
    <row r="12" spans="1:20" ht="15">
      <c r="A12" s="24" t="s">
        <v>456</v>
      </c>
      <c r="B12" s="27">
        <f>SUMIF(Camplist_Township,NFIAnalysis!$A12,Camplist_HH)</f>
        <v>998</v>
      </c>
      <c r="C12" s="27">
        <f>SUMIF(Camplist_Township,NFIAnalysis!$A12,Camplist_Popl)</f>
        <v>6418</v>
      </c>
      <c r="D12" s="27">
        <f ca="1" t="shared" si="0"/>
        <v>0</v>
      </c>
      <c r="E12" s="257">
        <f t="shared" si="1"/>
        <v>0</v>
      </c>
      <c r="F12" s="257">
        <f t="shared" si="11"/>
        <v>900</v>
      </c>
      <c r="G12" s="258">
        <f ca="1" t="shared" si="12"/>
        <v>98</v>
      </c>
      <c r="H12" s="257">
        <f ca="1" t="shared" si="2"/>
        <v>0</v>
      </c>
      <c r="I12" s="257">
        <f t="shared" si="3"/>
        <v>0</v>
      </c>
      <c r="J12" s="257">
        <f t="shared" si="13"/>
        <v>0</v>
      </c>
      <c r="K12" s="258">
        <f ca="1" t="shared" si="14"/>
        <v>998</v>
      </c>
      <c r="L12" s="257">
        <f ca="1" t="shared" si="4"/>
        <v>0</v>
      </c>
      <c r="M12" s="257">
        <f t="shared" si="5"/>
        <v>0</v>
      </c>
      <c r="N12" s="257">
        <f t="shared" si="6"/>
        <v>0</v>
      </c>
      <c r="O12" s="258">
        <f ca="1" t="shared" si="15"/>
        <v>998</v>
      </c>
      <c r="P12" s="257">
        <f ca="1" t="shared" si="7"/>
        <v>0</v>
      </c>
      <c r="Q12" s="257">
        <f ca="1" t="shared" si="8"/>
        <v>0</v>
      </c>
      <c r="R12" s="257">
        <f ca="1" t="shared" si="9"/>
        <v>0</v>
      </c>
      <c r="S12" s="257">
        <f ca="1" t="shared" si="16"/>
        <v>0</v>
      </c>
      <c r="T12" s="257">
        <f ca="1" t="shared" si="10"/>
        <v>0</v>
      </c>
    </row>
    <row r="13" spans="1:20" ht="15">
      <c r="A13" s="24" t="s">
        <v>457</v>
      </c>
      <c r="B13" s="27">
        <f>SUMIF(Camplist_Township,NFIAnalysis!$A13,Camplist_HH)</f>
        <v>769</v>
      </c>
      <c r="C13" s="27">
        <f>SUMIF(Camplist_Township,NFIAnalysis!$A13,Camplist_Popl)</f>
        <v>4008</v>
      </c>
      <c r="D13" s="27">
        <f ca="1" t="shared" si="0"/>
        <v>0</v>
      </c>
      <c r="E13" s="257">
        <f t="shared" si="1"/>
        <v>0</v>
      </c>
      <c r="F13" s="257">
        <f t="shared" si="11"/>
        <v>0</v>
      </c>
      <c r="G13" s="258">
        <f ca="1" t="shared" si="12"/>
        <v>769</v>
      </c>
      <c r="H13" s="257">
        <f ca="1" t="shared" si="2"/>
        <v>0</v>
      </c>
      <c r="I13" s="257">
        <f t="shared" si="3"/>
        <v>0</v>
      </c>
      <c r="J13" s="257">
        <f t="shared" si="13"/>
        <v>0</v>
      </c>
      <c r="K13" s="258">
        <f ca="1" t="shared" si="14"/>
        <v>769</v>
      </c>
      <c r="L13" s="257">
        <f ca="1" t="shared" si="4"/>
        <v>0</v>
      </c>
      <c r="M13" s="257">
        <f t="shared" si="5"/>
        <v>0</v>
      </c>
      <c r="N13" s="257">
        <f t="shared" si="6"/>
        <v>0</v>
      </c>
      <c r="O13" s="258">
        <f ca="1" t="shared" si="15"/>
        <v>769</v>
      </c>
      <c r="P13" s="257">
        <f ca="1" t="shared" si="7"/>
        <v>0</v>
      </c>
      <c r="Q13" s="257">
        <f ca="1" t="shared" si="8"/>
        <v>0</v>
      </c>
      <c r="R13" s="257">
        <f ca="1" t="shared" si="9"/>
        <v>0</v>
      </c>
      <c r="S13" s="257">
        <f ca="1" t="shared" si="16"/>
        <v>0</v>
      </c>
      <c r="T13" s="257">
        <f ca="1" t="shared" si="10"/>
        <v>0</v>
      </c>
    </row>
    <row r="14" spans="1:20" ht="15">
      <c r="A14" s="24" t="s">
        <v>458</v>
      </c>
      <c r="B14" s="27">
        <f>SUMIF(Camplist_Township,NFIAnalysis!$A14,Camplist_HH)</f>
        <v>491</v>
      </c>
      <c r="C14" s="27">
        <f>SUMIF(Camplist_Township,NFIAnalysis!$A14,Camplist_Popl)</f>
        <v>1849</v>
      </c>
      <c r="D14" s="27">
        <f ca="1" t="shared" si="0"/>
        <v>0</v>
      </c>
      <c r="E14" s="257">
        <f t="shared" si="1"/>
        <v>0</v>
      </c>
      <c r="F14" s="257">
        <f t="shared" si="11"/>
        <v>0</v>
      </c>
      <c r="G14" s="258">
        <f ca="1" t="shared" si="12"/>
        <v>491</v>
      </c>
      <c r="H14" s="257">
        <f ca="1" t="shared" si="2"/>
        <v>0</v>
      </c>
      <c r="I14" s="257">
        <f t="shared" si="3"/>
        <v>0</v>
      </c>
      <c r="J14" s="257">
        <f t="shared" si="13"/>
        <v>0</v>
      </c>
      <c r="K14" s="258">
        <f ca="1" t="shared" si="14"/>
        <v>491</v>
      </c>
      <c r="L14" s="257">
        <f ca="1" t="shared" si="4"/>
        <v>0</v>
      </c>
      <c r="M14" s="257">
        <f t="shared" si="5"/>
        <v>0</v>
      </c>
      <c r="N14" s="257">
        <f t="shared" si="6"/>
        <v>0</v>
      </c>
      <c r="O14" s="258">
        <f ca="1" t="shared" si="15"/>
        <v>491</v>
      </c>
      <c r="P14" s="257">
        <f ca="1" t="shared" si="7"/>
        <v>0</v>
      </c>
      <c r="Q14" s="257">
        <f ca="1" t="shared" si="8"/>
        <v>0</v>
      </c>
      <c r="R14" s="257">
        <f ca="1" t="shared" si="9"/>
        <v>0</v>
      </c>
      <c r="S14" s="257">
        <f ca="1" t="shared" si="16"/>
        <v>0</v>
      </c>
      <c r="T14" s="257">
        <f ca="1" t="shared" si="10"/>
        <v>0</v>
      </c>
    </row>
    <row r="15" spans="1:20" ht="15">
      <c r="A15" s="24" t="s">
        <v>459</v>
      </c>
      <c r="B15" s="27">
        <f>SUMIF(Camplist_Township,NFIAnalysis!$A15,Camplist_HH)</f>
        <v>43</v>
      </c>
      <c r="C15" s="27">
        <f>SUMIF(Camplist_Township,NFIAnalysis!$A15,Camplist_Popl)</f>
        <v>260</v>
      </c>
      <c r="D15" s="27">
        <f ca="1" t="shared" si="0"/>
        <v>0</v>
      </c>
      <c r="E15" s="257">
        <f t="shared" si="1"/>
        <v>0</v>
      </c>
      <c r="F15" s="257">
        <f t="shared" si="11"/>
        <v>0</v>
      </c>
      <c r="G15" s="258">
        <f ca="1" t="shared" si="12"/>
        <v>43</v>
      </c>
      <c r="H15" s="257">
        <f ca="1" t="shared" si="2"/>
        <v>0</v>
      </c>
      <c r="I15" s="257">
        <f t="shared" si="3"/>
        <v>0</v>
      </c>
      <c r="J15" s="257">
        <f t="shared" si="13"/>
        <v>0</v>
      </c>
      <c r="K15" s="258">
        <f ca="1" t="shared" si="14"/>
        <v>43</v>
      </c>
      <c r="L15" s="257">
        <f ca="1" t="shared" si="4"/>
        <v>0</v>
      </c>
      <c r="M15" s="257">
        <f t="shared" si="5"/>
        <v>0</v>
      </c>
      <c r="N15" s="257">
        <f t="shared" si="6"/>
        <v>0</v>
      </c>
      <c r="O15" s="258">
        <f ca="1" t="shared" si="15"/>
        <v>43</v>
      </c>
      <c r="P15" s="257">
        <f ca="1" t="shared" si="7"/>
        <v>0</v>
      </c>
      <c r="Q15" s="257">
        <f ca="1" t="shared" si="8"/>
        <v>0</v>
      </c>
      <c r="R15" s="257">
        <f ca="1" t="shared" si="9"/>
        <v>0</v>
      </c>
      <c r="S15" s="257">
        <f ca="1" t="shared" si="16"/>
        <v>0</v>
      </c>
      <c r="T15" s="257">
        <f ca="1" t="shared" si="10"/>
        <v>0</v>
      </c>
    </row>
    <row r="16" spans="1:20" ht="15">
      <c r="A16" s="24" t="s">
        <v>460</v>
      </c>
      <c r="B16" s="27">
        <f>SUMIF(Camplist_Township,NFIAnalysis!$A16,Camplist_HH)</f>
        <v>15252</v>
      </c>
      <c r="C16" s="27">
        <f>SUMIF(Camplist_Township,NFIAnalysis!$A16,Camplist_Popl)</f>
        <v>89880</v>
      </c>
      <c r="D16" s="27">
        <f ca="1" t="shared" si="0"/>
        <v>0</v>
      </c>
      <c r="E16" s="257">
        <f t="shared" si="1"/>
        <v>0</v>
      </c>
      <c r="F16" s="257">
        <f t="shared" si="11"/>
        <v>0</v>
      </c>
      <c r="G16" s="258">
        <f ca="1" t="shared" si="12"/>
        <v>15252</v>
      </c>
      <c r="H16" s="257">
        <f ca="1" t="shared" si="2"/>
        <v>0</v>
      </c>
      <c r="I16" s="257">
        <f t="shared" si="3"/>
        <v>0</v>
      </c>
      <c r="J16" s="257">
        <f t="shared" si="13"/>
        <v>0</v>
      </c>
      <c r="K16" s="258">
        <f ca="1" t="shared" si="14"/>
        <v>15252</v>
      </c>
      <c r="L16" s="257">
        <f ca="1" t="shared" si="4"/>
        <v>0</v>
      </c>
      <c r="M16" s="257">
        <f t="shared" si="5"/>
        <v>0</v>
      </c>
      <c r="N16" s="257">
        <f t="shared" si="6"/>
        <v>0</v>
      </c>
      <c r="O16" s="258">
        <f ca="1" t="shared" si="15"/>
        <v>15252</v>
      </c>
      <c r="P16" s="257">
        <f ca="1" t="shared" si="7"/>
        <v>0</v>
      </c>
      <c r="Q16" s="257">
        <f ca="1" t="shared" si="8"/>
        <v>0</v>
      </c>
      <c r="R16" s="257">
        <f ca="1" t="shared" si="9"/>
        <v>0</v>
      </c>
      <c r="S16" s="257">
        <f ca="1" t="shared" si="16"/>
        <v>0</v>
      </c>
      <c r="T16" s="257">
        <f ca="1" t="shared" si="10"/>
        <v>0</v>
      </c>
    </row>
    <row r="17" spans="1:20" ht="15">
      <c r="A17" s="28" t="s">
        <v>461</v>
      </c>
      <c r="B17" s="27">
        <f>SUMIF(Camplist_Township,NFIAnalysis!$A17,Camplist_HH)</f>
        <v>566</v>
      </c>
      <c r="C17" s="27">
        <f>SUMIF(Camplist_Township,NFIAnalysis!$A17,Camplist_Popl)</f>
        <v>3569</v>
      </c>
      <c r="D17" s="27">
        <f ca="1" t="shared" si="0"/>
        <v>0</v>
      </c>
      <c r="E17" s="257">
        <f t="shared" si="1"/>
        <v>0</v>
      </c>
      <c r="F17" s="257">
        <f t="shared" si="11"/>
        <v>20400</v>
      </c>
      <c r="G17" s="258">
        <f ca="1" t="shared" si="12"/>
        <v>0</v>
      </c>
      <c r="H17" s="257">
        <f ca="1" t="shared" si="2"/>
        <v>0</v>
      </c>
      <c r="I17" s="257">
        <f t="shared" si="3"/>
        <v>100</v>
      </c>
      <c r="J17" s="257">
        <f t="shared" si="13"/>
        <v>4940</v>
      </c>
      <c r="K17" s="258">
        <f ca="1" t="shared" si="14"/>
        <v>0</v>
      </c>
      <c r="L17" s="257">
        <f ca="1" t="shared" si="4"/>
        <v>0</v>
      </c>
      <c r="M17" s="257">
        <f t="shared" si="5"/>
        <v>0</v>
      </c>
      <c r="N17" s="257">
        <f t="shared" si="6"/>
        <v>0</v>
      </c>
      <c r="O17" s="258">
        <f ca="1" t="shared" si="15"/>
        <v>566</v>
      </c>
      <c r="P17" s="257">
        <f ca="1" t="shared" si="7"/>
        <v>0</v>
      </c>
      <c r="Q17" s="257">
        <f ca="1" t="shared" si="8"/>
        <v>0</v>
      </c>
      <c r="R17" s="257">
        <f ca="1" t="shared" si="9"/>
        <v>0</v>
      </c>
      <c r="S17" s="257">
        <f ca="1" t="shared" si="16"/>
        <v>0</v>
      </c>
      <c r="T17" s="257">
        <f ca="1" t="shared" si="10"/>
        <v>0</v>
      </c>
    </row>
    <row r="18" spans="1:20" ht="15">
      <c r="A18" s="29" t="s">
        <v>5</v>
      </c>
      <c r="B18" s="29">
        <f>SUM(B8:B17)</f>
        <v>24119</v>
      </c>
      <c r="C18" s="29">
        <f aca="true" t="shared" si="17" ref="C18:T18">SUM(C8:C17)</f>
        <v>139416</v>
      </c>
      <c r="D18" s="29">
        <f ca="1" t="shared" si="17"/>
        <v>0</v>
      </c>
      <c r="E18" s="259">
        <f t="shared" si="17"/>
        <v>0</v>
      </c>
      <c r="F18" s="259">
        <f t="shared" si="17"/>
        <v>21300</v>
      </c>
      <c r="G18" s="260">
        <f ca="1" t="shared" si="17"/>
        <v>22653</v>
      </c>
      <c r="H18" s="259">
        <f ca="1" t="shared" si="17"/>
        <v>0</v>
      </c>
      <c r="I18" s="259">
        <f t="shared" si="17"/>
        <v>1839</v>
      </c>
      <c r="J18" s="259">
        <f t="shared" si="17"/>
        <v>4940</v>
      </c>
      <c r="K18" s="260">
        <f ca="1" t="shared" si="17"/>
        <v>22038</v>
      </c>
      <c r="L18" s="259">
        <f ca="1" t="shared" si="17"/>
        <v>0</v>
      </c>
      <c r="M18" s="259">
        <f t="shared" si="17"/>
        <v>0</v>
      </c>
      <c r="N18" s="259">
        <f t="shared" si="17"/>
        <v>0</v>
      </c>
      <c r="O18" s="260">
        <f ca="1" t="shared" si="17"/>
        <v>24119</v>
      </c>
      <c r="P18" s="259">
        <f ca="1" t="shared" si="17"/>
        <v>0</v>
      </c>
      <c r="Q18" s="259">
        <f ca="1" t="shared" si="17"/>
        <v>0</v>
      </c>
      <c r="R18" s="259">
        <f ca="1" t="shared" si="17"/>
        <v>0</v>
      </c>
      <c r="S18" s="259">
        <f ca="1" t="shared" si="17"/>
        <v>0</v>
      </c>
      <c r="T18" s="259">
        <f ca="1" t="shared" si="17"/>
        <v>0</v>
      </c>
    </row>
    <row r="19" ht="107.25" customHeight="1"/>
    <row r="20" spans="1:26" s="238" customFormat="1" ht="31.5">
      <c r="A20" s="275" t="s">
        <v>433</v>
      </c>
      <c r="B20" s="277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</row>
    <row r="21" spans="1:20" ht="25.5" customHeight="1">
      <c r="A21" s="370" t="s">
        <v>1</v>
      </c>
      <c r="B21" s="370" t="s">
        <v>822</v>
      </c>
      <c r="C21" s="370" t="s">
        <v>823</v>
      </c>
      <c r="D21" s="367" t="s">
        <v>984</v>
      </c>
      <c r="E21" s="368"/>
      <c r="F21" s="368"/>
      <c r="G21" s="369"/>
      <c r="H21" s="367" t="s">
        <v>799</v>
      </c>
      <c r="I21" s="368"/>
      <c r="J21" s="368"/>
      <c r="K21" s="369"/>
      <c r="L21" s="367" t="s">
        <v>985</v>
      </c>
      <c r="M21" s="368"/>
      <c r="N21" s="368"/>
      <c r="O21" s="369"/>
      <c r="P21" s="167" t="s">
        <v>1025</v>
      </c>
      <c r="Q21" s="167" t="s">
        <v>987</v>
      </c>
      <c r="R21" s="167" t="s">
        <v>831</v>
      </c>
      <c r="S21" s="167" t="s">
        <v>832</v>
      </c>
      <c r="T21" s="167" t="s">
        <v>1030</v>
      </c>
    </row>
    <row r="22" spans="1:20" ht="36.75" customHeight="1">
      <c r="A22" s="370"/>
      <c r="B22" s="370"/>
      <c r="C22" s="370"/>
      <c r="D22" s="23" t="s">
        <v>833</v>
      </c>
      <c r="E22" s="23" t="s">
        <v>836</v>
      </c>
      <c r="F22" s="23" t="s">
        <v>805</v>
      </c>
      <c r="G22" s="34" t="s">
        <v>834</v>
      </c>
      <c r="H22" s="23" t="s">
        <v>833</v>
      </c>
      <c r="I22" s="23" t="s">
        <v>836</v>
      </c>
      <c r="J22" s="23" t="s">
        <v>805</v>
      </c>
      <c r="K22" s="34" t="s">
        <v>834</v>
      </c>
      <c r="L22" s="23" t="s">
        <v>833</v>
      </c>
      <c r="M22" s="23" t="s">
        <v>836</v>
      </c>
      <c r="N22" s="23" t="s">
        <v>805</v>
      </c>
      <c r="O22" s="34" t="s">
        <v>834</v>
      </c>
      <c r="P22" s="23" t="s">
        <v>833</v>
      </c>
      <c r="Q22" s="23" t="s">
        <v>833</v>
      </c>
      <c r="R22" s="23" t="s">
        <v>833</v>
      </c>
      <c r="S22" s="23" t="s">
        <v>833</v>
      </c>
      <c r="T22" s="23" t="s">
        <v>833</v>
      </c>
    </row>
    <row r="23" spans="1:20" ht="15">
      <c r="A23" s="26" t="s">
        <v>7</v>
      </c>
      <c r="B23" s="27">
        <f>SUMIF(Camplist_Township,NFIAnalysis!$A23,Camplist_HH)</f>
        <v>1276</v>
      </c>
      <c r="C23" s="27">
        <f>SUMIF(Camplist_Township,NFIAnalysis!$A23,Camplist_Popl)</f>
        <v>5768</v>
      </c>
      <c r="D23" s="27">
        <f aca="true" t="shared" si="18" ref="D23:D41">SUMIF(NFI_Township,$A23,NFI_Hygiene_Track)</f>
        <v>0</v>
      </c>
      <c r="E23" s="27">
        <f aca="true" t="shared" si="19" ref="E23:E41">SUMIF(NFI_Pipeline_Township,$A23,NFI_Hygiene_Stock)</f>
        <v>0</v>
      </c>
      <c r="F23" s="27">
        <f aca="true" t="shared" si="20" ref="F23:F41">SUMIF(NFI_Pipeline_Township,$A21,NFI_Hygiene_Pipeline)</f>
        <v>0</v>
      </c>
      <c r="G23" s="35">
        <f ca="1">IF(B23-(D23+E23+F23)&lt;0,0,B23-(D23+E23+F23))</f>
        <v>1276</v>
      </c>
      <c r="H23" s="26">
        <f aca="true" t="shared" si="21" ref="H23:H41">SUMIF(NFI_Township,$A23,NFI_Core_Track)</f>
        <v>0</v>
      </c>
      <c r="I23" s="26">
        <f>SUMIF(NFI_Pipeline_Township,$A23,NFI_Core_Stock)</f>
        <v>0</v>
      </c>
      <c r="J23" s="26">
        <f aca="true" t="shared" si="22" ref="J23:J41">SUMIF(NFI_Pipeline_Township,$A21,NFI_Core_Pipeline)</f>
        <v>0</v>
      </c>
      <c r="K23" s="37">
        <f ca="1">IF(B23-(H23+I23+J23)&lt;0,0,B23-(H23+I23+J23))</f>
        <v>1276</v>
      </c>
      <c r="L23" s="26">
        <f aca="true" t="shared" si="23" ref="L23:L41">SUMIF(NFI_Township,$A23,NFI_Sanitary_Track)</f>
        <v>0</v>
      </c>
      <c r="M23" s="26">
        <f aca="true" t="shared" si="24" ref="M23:M41">SUMIF(NFI_Pipeline_Township,$A23,NFI_Sanitary_Stock)</f>
        <v>0</v>
      </c>
      <c r="N23" s="26">
        <f aca="true" t="shared" si="25" ref="N23:N41">SUMIF(NFI_Pipeline_Township,$A21,NFI_Sanitary_Pipeline)</f>
        <v>0</v>
      </c>
      <c r="O23" s="37">
        <f ca="1">IF(B23-(L23+M23+N23)&lt;0,0,B23-(L23+M23+N23))</f>
        <v>1276</v>
      </c>
      <c r="P23" s="26">
        <f aca="true" t="shared" si="26" ref="P23:P41">SUMIF(NFI_Township,$A23,NFI_Mosquito_Track)</f>
        <v>0</v>
      </c>
      <c r="Q23" s="26">
        <f aca="true" t="shared" si="27" ref="Q23:Q41">SUMIF(NFI_Township,$A23,NFI_Tarpaulin_Track)</f>
        <v>0</v>
      </c>
      <c r="R23" s="26">
        <f aca="true" t="shared" si="28" ref="R23:R41">SUMIF(NFI_Township,$A23,NFI_Blanket_Track)</f>
        <v>0</v>
      </c>
      <c r="S23" s="26">
        <f aca="true" t="shared" si="29" ref="S23:S41">SUMIF(NFI_Township,$A23,NFI_Kitchen_Track)</f>
        <v>0</v>
      </c>
      <c r="T23" s="26">
        <f aca="true" t="shared" si="30" ref="T23:T41">SUMIF(NFI_Township,$A23,NFI_Complementary_Track)</f>
        <v>0</v>
      </c>
    </row>
    <row r="24" spans="1:20" ht="15">
      <c r="A24" s="24" t="s">
        <v>29</v>
      </c>
      <c r="B24" s="27">
        <f>SUMIF(Camplist_Township,NFIAnalysis!$A24,Camplist_HH)</f>
        <v>95.4</v>
      </c>
      <c r="C24" s="27">
        <f>SUMIF(Camplist_Township,NFIAnalysis!$A24,Camplist_Popl)</f>
        <v>830</v>
      </c>
      <c r="D24" s="27">
        <f ca="1" t="shared" si="18"/>
        <v>0</v>
      </c>
      <c r="E24" s="27">
        <f t="shared" si="19"/>
        <v>0</v>
      </c>
      <c r="F24" s="27">
        <f>SUMIF(NFI_Pipeline_Township,$A23,NFI_Hygiene_Pipeline)</f>
        <v>0</v>
      </c>
      <c r="G24" s="35">
        <f aca="true" t="shared" si="31" ref="G24:G41">IF(B24-(D24+E24+F24)&lt;0,0,B24-(D24+E24+F24))</f>
        <v>95.4</v>
      </c>
      <c r="H24" s="26">
        <f ca="1" t="shared" si="21"/>
        <v>0</v>
      </c>
      <c r="I24" s="26">
        <f aca="true" t="shared" si="32" ref="I24:I41">SUMIF(NFI_Pipeline_Township,$A24,NFI_Core_Stock)</f>
        <v>0</v>
      </c>
      <c r="J24" s="26">
        <f>SUMIF(NFI_Pipeline_Township,$A23,NFI_Core_Pipeline)</f>
        <v>0</v>
      </c>
      <c r="K24" s="37">
        <f aca="true" t="shared" si="33" ref="K24:K41">IF(B24-(H24+I24+J24)&lt;0,0,B24-(H24+I24+J24))</f>
        <v>95.4</v>
      </c>
      <c r="L24" s="26">
        <f ca="1" t="shared" si="23"/>
        <v>0</v>
      </c>
      <c r="M24" s="26">
        <f t="shared" si="24"/>
        <v>0</v>
      </c>
      <c r="N24" s="26">
        <f>SUMIF(NFI_Pipeline_Township,$A23,NFI_Sanitary_Pipeline)</f>
        <v>0</v>
      </c>
      <c r="O24" s="37">
        <f aca="true" t="shared" si="34" ref="O24:O41">IF(B24-(L24+M24+N24)&lt;0,0,B24-(L24+M24+N24))</f>
        <v>95.4</v>
      </c>
      <c r="P24" s="26">
        <f ca="1" t="shared" si="26"/>
        <v>0</v>
      </c>
      <c r="Q24" s="26">
        <f ca="1" t="shared" si="27"/>
        <v>0</v>
      </c>
      <c r="R24" s="26">
        <f ca="1" t="shared" si="28"/>
        <v>0</v>
      </c>
      <c r="S24" s="26">
        <f ca="1" t="shared" si="29"/>
        <v>0</v>
      </c>
      <c r="T24" s="26">
        <f ca="1" t="shared" si="30"/>
        <v>0</v>
      </c>
    </row>
    <row r="25" spans="1:20" ht="15">
      <c r="A25" s="25" t="s">
        <v>41</v>
      </c>
      <c r="B25" s="27">
        <f>SUMIF(Camplist_Township,NFIAnalysis!$A25,Camplist_HH)</f>
        <v>1511</v>
      </c>
      <c r="C25" s="27">
        <f>SUMIF(Camplist_Township,NFIAnalysis!$A25,Camplist_Popl)</f>
        <v>5872</v>
      </c>
      <c r="D25" s="27">
        <f ca="1" t="shared" si="18"/>
        <v>0</v>
      </c>
      <c r="E25" s="27">
        <f t="shared" si="19"/>
        <v>0</v>
      </c>
      <c r="F25" s="27">
        <f>SUMIF(NFI_Pipeline_Township,#REF!,NFI_Hygiene_Pipeline)</f>
        <v>0</v>
      </c>
      <c r="G25" s="35">
        <f ca="1" t="shared" si="31"/>
        <v>1511</v>
      </c>
      <c r="H25" s="26">
        <f ca="1" t="shared" si="21"/>
        <v>0</v>
      </c>
      <c r="I25" s="26">
        <f t="shared" si="32"/>
        <v>0</v>
      </c>
      <c r="J25" s="26">
        <f>SUMIF(NFI_Pipeline_Township,#REF!,NFI_Core_Pipeline)</f>
        <v>0</v>
      </c>
      <c r="K25" s="37">
        <f ca="1" t="shared" si="33"/>
        <v>1511</v>
      </c>
      <c r="L25" s="26">
        <f ca="1" t="shared" si="23"/>
        <v>0</v>
      </c>
      <c r="M25" s="26">
        <f t="shared" si="24"/>
        <v>0</v>
      </c>
      <c r="N25" s="26">
        <f>SUMIF(NFI_Pipeline_Township,#REF!,NFI_Sanitary_Pipeline)</f>
        <v>0</v>
      </c>
      <c r="O25" s="37">
        <f ca="1" t="shared" si="34"/>
        <v>1511</v>
      </c>
      <c r="P25" s="26">
        <f ca="1" t="shared" si="26"/>
        <v>0</v>
      </c>
      <c r="Q25" s="26">
        <f ca="1" t="shared" si="27"/>
        <v>0</v>
      </c>
      <c r="R25" s="26">
        <f ca="1" t="shared" si="28"/>
        <v>0</v>
      </c>
      <c r="S25" s="26">
        <f ca="1" t="shared" si="29"/>
        <v>0</v>
      </c>
      <c r="T25" s="26">
        <f ca="1" t="shared" si="30"/>
        <v>0</v>
      </c>
    </row>
    <row r="26" spans="1:20" ht="15">
      <c r="A26" s="25" t="s">
        <v>412</v>
      </c>
      <c r="B26" s="27">
        <f>SUMIF(Camplist_Township,NFIAnalysis!$A26,Camplist_HH)</f>
        <v>0</v>
      </c>
      <c r="C26" s="27">
        <f>SUMIF(Camplist_Township,NFIAnalysis!$A26,Camplist_Popl)</f>
        <v>0</v>
      </c>
      <c r="D26" s="27">
        <f t="shared" si="18"/>
        <v>0</v>
      </c>
      <c r="E26" s="27">
        <f t="shared" si="19"/>
        <v>0</v>
      </c>
      <c r="F26" s="27">
        <f t="shared" si="20"/>
        <v>0</v>
      </c>
      <c r="G26" s="35">
        <f t="shared" si="31"/>
        <v>0</v>
      </c>
      <c r="H26" s="26">
        <f t="shared" si="21"/>
        <v>0</v>
      </c>
      <c r="I26" s="26">
        <f t="shared" si="32"/>
        <v>0</v>
      </c>
      <c r="J26" s="26">
        <f t="shared" si="22"/>
        <v>0</v>
      </c>
      <c r="K26" s="37">
        <f t="shared" si="33"/>
        <v>0</v>
      </c>
      <c r="L26" s="26">
        <f t="shared" si="23"/>
        <v>0</v>
      </c>
      <c r="M26" s="26">
        <f t="shared" si="24"/>
        <v>0</v>
      </c>
      <c r="N26" s="26">
        <f t="shared" si="25"/>
        <v>0</v>
      </c>
      <c r="O26" s="37">
        <f t="shared" si="34"/>
        <v>0</v>
      </c>
      <c r="P26" s="26">
        <f t="shared" si="26"/>
        <v>0</v>
      </c>
      <c r="Q26" s="26">
        <f t="shared" si="27"/>
        <v>0</v>
      </c>
      <c r="R26" s="26">
        <f t="shared" si="28"/>
        <v>0</v>
      </c>
      <c r="S26" s="26">
        <f t="shared" si="29"/>
        <v>0</v>
      </c>
      <c r="T26" s="26">
        <f t="shared" si="30"/>
        <v>0</v>
      </c>
    </row>
    <row r="27" spans="1:20" ht="15">
      <c r="A27" s="24" t="s">
        <v>148</v>
      </c>
      <c r="B27" s="27">
        <f>SUMIF(Camplist_Township,NFIAnalysis!$A27,Camplist_HH)</f>
        <v>22</v>
      </c>
      <c r="C27" s="27">
        <f>SUMIF(Camplist_Township,NFIAnalysis!$A27,Camplist_Popl)</f>
        <v>107</v>
      </c>
      <c r="D27" s="27">
        <f t="shared" si="18"/>
        <v>0</v>
      </c>
      <c r="E27" s="27">
        <f t="shared" si="19"/>
        <v>0</v>
      </c>
      <c r="F27" s="27">
        <f t="shared" si="20"/>
        <v>0</v>
      </c>
      <c r="G27" s="35">
        <f t="shared" si="31"/>
        <v>22</v>
      </c>
      <c r="H27" s="26">
        <f t="shared" si="21"/>
        <v>0</v>
      </c>
      <c r="I27" s="26">
        <f>SUMIF(NFI_Pipeline_Township,$A27,NFI_Core_Stock)</f>
        <v>0</v>
      </c>
      <c r="J27" s="26">
        <f t="shared" si="22"/>
        <v>0</v>
      </c>
      <c r="K27" s="37">
        <f t="shared" si="33"/>
        <v>22</v>
      </c>
      <c r="L27" s="26">
        <f t="shared" si="23"/>
        <v>0</v>
      </c>
      <c r="M27" s="26">
        <f t="shared" si="24"/>
        <v>0</v>
      </c>
      <c r="N27" s="26">
        <f t="shared" si="25"/>
        <v>0</v>
      </c>
      <c r="O27" s="37">
        <f t="shared" si="34"/>
        <v>22</v>
      </c>
      <c r="P27" s="26">
        <f t="shared" si="26"/>
        <v>0</v>
      </c>
      <c r="Q27" s="26">
        <f t="shared" si="27"/>
        <v>0</v>
      </c>
      <c r="R27" s="26">
        <f t="shared" si="28"/>
        <v>0</v>
      </c>
      <c r="S27" s="26">
        <f t="shared" si="29"/>
        <v>0</v>
      </c>
      <c r="T27" s="26">
        <f t="shared" si="30"/>
        <v>0</v>
      </c>
    </row>
    <row r="28" spans="1:20" ht="15">
      <c r="A28" s="24" t="s">
        <v>150</v>
      </c>
      <c r="B28" s="27">
        <f>SUMIF(Camplist_Township,NFIAnalysis!$A28,Camplist_HH)</f>
        <v>148</v>
      </c>
      <c r="C28" s="27">
        <f>SUMIF(Camplist_Township,NFIAnalysis!$A28,Camplist_Popl)</f>
        <v>571</v>
      </c>
      <c r="D28" s="27">
        <f t="shared" si="18"/>
        <v>0</v>
      </c>
      <c r="E28" s="27">
        <f t="shared" si="19"/>
        <v>0</v>
      </c>
      <c r="F28" s="27">
        <f t="shared" si="20"/>
        <v>0</v>
      </c>
      <c r="G28" s="35">
        <f t="shared" si="31"/>
        <v>148</v>
      </c>
      <c r="H28" s="26">
        <f t="shared" si="21"/>
        <v>0</v>
      </c>
      <c r="I28" s="26">
        <f t="shared" si="32"/>
        <v>0</v>
      </c>
      <c r="J28" s="26">
        <f t="shared" si="22"/>
        <v>0</v>
      </c>
      <c r="K28" s="37">
        <f t="shared" si="33"/>
        <v>148</v>
      </c>
      <c r="L28" s="26">
        <f t="shared" si="23"/>
        <v>0</v>
      </c>
      <c r="M28" s="26">
        <f t="shared" si="24"/>
        <v>0</v>
      </c>
      <c r="N28" s="26">
        <f t="shared" si="25"/>
        <v>0</v>
      </c>
      <c r="O28" s="37">
        <f t="shared" si="34"/>
        <v>148</v>
      </c>
      <c r="P28" s="26">
        <f t="shared" si="26"/>
        <v>0</v>
      </c>
      <c r="Q28" s="26">
        <f t="shared" si="27"/>
        <v>0</v>
      </c>
      <c r="R28" s="26">
        <f t="shared" si="28"/>
        <v>0</v>
      </c>
      <c r="S28" s="26">
        <f t="shared" si="29"/>
        <v>0</v>
      </c>
      <c r="T28" s="26">
        <f t="shared" si="30"/>
        <v>0</v>
      </c>
    </row>
    <row r="29" spans="1:20" ht="15">
      <c r="A29" s="24" t="s">
        <v>155</v>
      </c>
      <c r="B29" s="27">
        <f>SUMIF(Camplist_Township,NFIAnalysis!$A29,Camplist_HH)</f>
        <v>1551.2</v>
      </c>
      <c r="C29" s="27">
        <f>SUMIF(Camplist_Township,NFIAnalysis!$A29,Camplist_Popl)</f>
        <v>7286</v>
      </c>
      <c r="D29" s="27">
        <f t="shared" si="18"/>
        <v>0</v>
      </c>
      <c r="E29" s="27">
        <f t="shared" si="19"/>
        <v>0</v>
      </c>
      <c r="F29" s="27">
        <f t="shared" si="20"/>
        <v>0</v>
      </c>
      <c r="G29" s="35">
        <f t="shared" si="31"/>
        <v>1551.2</v>
      </c>
      <c r="H29" s="26">
        <f>SUMIF(NFI_Township,$A29,NFI_Core_Track)</f>
        <v>0</v>
      </c>
      <c r="I29" s="26">
        <f>SUMIF(NFI_Pipeline_Township,$A29,NFI_Core_Stock)</f>
        <v>0</v>
      </c>
      <c r="J29" s="26">
        <f t="shared" si="22"/>
        <v>0</v>
      </c>
      <c r="K29" s="37">
        <f t="shared" si="33"/>
        <v>1551.2</v>
      </c>
      <c r="L29" s="26">
        <f t="shared" si="23"/>
        <v>0</v>
      </c>
      <c r="M29" s="26">
        <f t="shared" si="24"/>
        <v>0</v>
      </c>
      <c r="N29" s="26">
        <f t="shared" si="25"/>
        <v>0</v>
      </c>
      <c r="O29" s="37">
        <f t="shared" si="34"/>
        <v>1551.2</v>
      </c>
      <c r="P29" s="26">
        <f t="shared" si="26"/>
        <v>0</v>
      </c>
      <c r="Q29" s="26">
        <f t="shared" si="27"/>
        <v>0</v>
      </c>
      <c r="R29" s="26">
        <f t="shared" si="28"/>
        <v>0</v>
      </c>
      <c r="S29" s="26">
        <f t="shared" si="29"/>
        <v>0</v>
      </c>
      <c r="T29" s="26">
        <f t="shared" si="30"/>
        <v>0</v>
      </c>
    </row>
    <row r="30" spans="1:20" ht="15">
      <c r="A30" s="24" t="s">
        <v>170</v>
      </c>
      <c r="B30" s="27">
        <f>SUMIF(Camplist_Township,NFIAnalysis!$A30,Camplist_HH)</f>
        <v>53</v>
      </c>
      <c r="C30" s="27">
        <f>SUMIF(Camplist_Township,NFIAnalysis!$A30,Camplist_Popl)</f>
        <v>260</v>
      </c>
      <c r="D30" s="27">
        <f t="shared" si="18"/>
        <v>0</v>
      </c>
      <c r="E30" s="27">
        <f t="shared" si="19"/>
        <v>0</v>
      </c>
      <c r="F30" s="27">
        <f t="shared" si="20"/>
        <v>0</v>
      </c>
      <c r="G30" s="35">
        <f t="shared" si="31"/>
        <v>53</v>
      </c>
      <c r="H30" s="26">
        <f t="shared" si="21"/>
        <v>0</v>
      </c>
      <c r="I30" s="26">
        <f t="shared" si="32"/>
        <v>0</v>
      </c>
      <c r="J30" s="26">
        <f t="shared" si="22"/>
        <v>0</v>
      </c>
      <c r="K30" s="37">
        <f t="shared" si="33"/>
        <v>53</v>
      </c>
      <c r="L30" s="26">
        <f t="shared" si="23"/>
        <v>0</v>
      </c>
      <c r="M30" s="26">
        <f t="shared" si="24"/>
        <v>0</v>
      </c>
      <c r="N30" s="26">
        <f t="shared" si="25"/>
        <v>0</v>
      </c>
      <c r="O30" s="37">
        <f t="shared" si="34"/>
        <v>53</v>
      </c>
      <c r="P30" s="26">
        <f t="shared" si="26"/>
        <v>0</v>
      </c>
      <c r="Q30" s="26">
        <f t="shared" si="27"/>
        <v>0</v>
      </c>
      <c r="R30" s="26">
        <f t="shared" si="28"/>
        <v>0</v>
      </c>
      <c r="S30" s="26">
        <f t="shared" si="29"/>
        <v>0</v>
      </c>
      <c r="T30" s="26">
        <f t="shared" si="30"/>
        <v>0</v>
      </c>
    </row>
    <row r="31" spans="1:20" ht="15">
      <c r="A31" s="24" t="s">
        <v>177</v>
      </c>
      <c r="B31" s="27">
        <f>SUMIF(Camplist_Township,NFIAnalysis!$A31,Camplist_HH)</f>
        <v>45</v>
      </c>
      <c r="C31" s="27">
        <f>SUMIF(Camplist_Township,NFIAnalysis!$A31,Camplist_Popl)</f>
        <v>188</v>
      </c>
      <c r="D31" s="27">
        <f t="shared" si="18"/>
        <v>0</v>
      </c>
      <c r="E31" s="27">
        <f t="shared" si="19"/>
        <v>0</v>
      </c>
      <c r="F31" s="27">
        <f t="shared" si="20"/>
        <v>0</v>
      </c>
      <c r="G31" s="35">
        <f t="shared" si="31"/>
        <v>45</v>
      </c>
      <c r="H31" s="26">
        <f t="shared" si="21"/>
        <v>0</v>
      </c>
      <c r="I31" s="26">
        <f t="shared" si="32"/>
        <v>0</v>
      </c>
      <c r="J31" s="26">
        <f t="shared" si="22"/>
        <v>0</v>
      </c>
      <c r="K31" s="37">
        <f t="shared" si="33"/>
        <v>45</v>
      </c>
      <c r="L31" s="26">
        <f t="shared" si="23"/>
        <v>0</v>
      </c>
      <c r="M31" s="26">
        <f t="shared" si="24"/>
        <v>0</v>
      </c>
      <c r="N31" s="26">
        <f t="shared" si="25"/>
        <v>0</v>
      </c>
      <c r="O31" s="37">
        <f t="shared" si="34"/>
        <v>45</v>
      </c>
      <c r="P31" s="26">
        <f t="shared" si="26"/>
        <v>0</v>
      </c>
      <c r="Q31" s="26">
        <f t="shared" si="27"/>
        <v>0</v>
      </c>
      <c r="R31" s="26">
        <f t="shared" si="28"/>
        <v>0</v>
      </c>
      <c r="S31" s="26">
        <f t="shared" si="29"/>
        <v>0</v>
      </c>
      <c r="T31" s="26">
        <f t="shared" si="30"/>
        <v>0</v>
      </c>
    </row>
    <row r="32" spans="1:20" ht="15">
      <c r="A32" s="24" t="s">
        <v>184</v>
      </c>
      <c r="B32" s="27">
        <f>SUMIF(Camplist_Township,NFIAnalysis!$A32,Camplist_HH)</f>
        <v>34</v>
      </c>
      <c r="C32" s="27">
        <f>SUMIF(Camplist_Township,NFIAnalysis!$A32,Camplist_Popl)</f>
        <v>143</v>
      </c>
      <c r="D32" s="27">
        <f t="shared" si="18"/>
        <v>0</v>
      </c>
      <c r="E32" s="27">
        <f t="shared" si="19"/>
        <v>0</v>
      </c>
      <c r="F32" s="27">
        <f t="shared" si="20"/>
        <v>0</v>
      </c>
      <c r="G32" s="35">
        <f t="shared" si="31"/>
        <v>34</v>
      </c>
      <c r="H32" s="26">
        <f t="shared" si="21"/>
        <v>0</v>
      </c>
      <c r="I32" s="26">
        <f t="shared" si="32"/>
        <v>0</v>
      </c>
      <c r="J32" s="26">
        <f t="shared" si="22"/>
        <v>0</v>
      </c>
      <c r="K32" s="37">
        <f t="shared" si="33"/>
        <v>34</v>
      </c>
      <c r="L32" s="26">
        <f t="shared" si="23"/>
        <v>0</v>
      </c>
      <c r="M32" s="26">
        <f t="shared" si="24"/>
        <v>0</v>
      </c>
      <c r="N32" s="26">
        <f t="shared" si="25"/>
        <v>0</v>
      </c>
      <c r="O32" s="37">
        <f t="shared" si="34"/>
        <v>34</v>
      </c>
      <c r="P32" s="26">
        <f t="shared" si="26"/>
        <v>0</v>
      </c>
      <c r="Q32" s="26">
        <f t="shared" si="27"/>
        <v>0</v>
      </c>
      <c r="R32" s="26">
        <f t="shared" si="28"/>
        <v>0</v>
      </c>
      <c r="S32" s="26">
        <f t="shared" si="29"/>
        <v>0</v>
      </c>
      <c r="T32" s="26">
        <f t="shared" si="30"/>
        <v>0</v>
      </c>
    </row>
    <row r="33" spans="1:20" ht="15">
      <c r="A33" s="24" t="s">
        <v>189</v>
      </c>
      <c r="B33" s="27">
        <f>SUMIF(Camplist_Township,NFIAnalysis!$A33,Camplist_HH)</f>
        <v>5355</v>
      </c>
      <c r="C33" s="27">
        <f>SUMIF(Camplist_Township,NFIAnalysis!$A33,Camplist_Popl)</f>
        <v>25037</v>
      </c>
      <c r="D33" s="27">
        <f ca="1" t="shared" si="18"/>
        <v>60</v>
      </c>
      <c r="E33" s="27">
        <f t="shared" si="19"/>
        <v>0</v>
      </c>
      <c r="F33" s="27">
        <f t="shared" si="20"/>
        <v>0</v>
      </c>
      <c r="G33" s="35">
        <f ca="1" t="shared" si="31"/>
        <v>5295</v>
      </c>
      <c r="H33" s="26">
        <f ca="1" t="shared" si="21"/>
        <v>0</v>
      </c>
      <c r="I33" s="26">
        <f t="shared" si="32"/>
        <v>0</v>
      </c>
      <c r="J33" s="26">
        <f t="shared" si="22"/>
        <v>0</v>
      </c>
      <c r="K33" s="37">
        <f ca="1" t="shared" si="33"/>
        <v>5355</v>
      </c>
      <c r="L33" s="26">
        <f ca="1" t="shared" si="23"/>
        <v>0</v>
      </c>
      <c r="M33" s="26">
        <f t="shared" si="24"/>
        <v>0</v>
      </c>
      <c r="N33" s="26">
        <f t="shared" si="25"/>
        <v>0</v>
      </c>
      <c r="O33" s="37">
        <f ca="1" t="shared" si="34"/>
        <v>5355</v>
      </c>
      <c r="P33" s="26">
        <f ca="1" t="shared" si="26"/>
        <v>0</v>
      </c>
      <c r="Q33" s="26">
        <f ca="1" t="shared" si="27"/>
        <v>0</v>
      </c>
      <c r="R33" s="26">
        <f ca="1" t="shared" si="28"/>
        <v>0</v>
      </c>
      <c r="S33" s="26">
        <f ca="1" t="shared" si="29"/>
        <v>0</v>
      </c>
      <c r="T33" s="26">
        <f ca="1" t="shared" si="30"/>
        <v>0</v>
      </c>
    </row>
    <row r="34" spans="1:20" ht="15">
      <c r="A34" s="24" t="s">
        <v>432</v>
      </c>
      <c r="B34" s="27">
        <f>SUMIF(Camplist_Township,NFIAnalysis!$A34,Camplist_HH)</f>
        <v>0</v>
      </c>
      <c r="C34" s="27">
        <f>SUMIF(Camplist_Township,NFIAnalysis!$A34,Camplist_Popl)</f>
        <v>0</v>
      </c>
      <c r="D34" s="27">
        <f t="shared" si="18"/>
        <v>0</v>
      </c>
      <c r="E34" s="27">
        <f t="shared" si="19"/>
        <v>0</v>
      </c>
      <c r="F34" s="27">
        <f t="shared" si="20"/>
        <v>0</v>
      </c>
      <c r="G34" s="35">
        <f t="shared" si="31"/>
        <v>0</v>
      </c>
      <c r="H34" s="26">
        <f t="shared" si="21"/>
        <v>0</v>
      </c>
      <c r="I34" s="26">
        <f t="shared" si="32"/>
        <v>0</v>
      </c>
      <c r="J34" s="26">
        <f t="shared" si="22"/>
        <v>0</v>
      </c>
      <c r="K34" s="37">
        <f t="shared" si="33"/>
        <v>0</v>
      </c>
      <c r="L34" s="26">
        <f t="shared" si="23"/>
        <v>0</v>
      </c>
      <c r="M34" s="26">
        <f t="shared" si="24"/>
        <v>0</v>
      </c>
      <c r="N34" s="26">
        <f t="shared" si="25"/>
        <v>0</v>
      </c>
      <c r="O34" s="37">
        <f t="shared" si="34"/>
        <v>0</v>
      </c>
      <c r="P34" s="26">
        <f t="shared" si="26"/>
        <v>0</v>
      </c>
      <c r="Q34" s="26">
        <f t="shared" si="27"/>
        <v>0</v>
      </c>
      <c r="R34" s="26">
        <f t="shared" si="28"/>
        <v>0</v>
      </c>
      <c r="S34" s="26">
        <f t="shared" si="29"/>
        <v>0</v>
      </c>
      <c r="T34" s="26">
        <f t="shared" si="30"/>
        <v>0</v>
      </c>
    </row>
    <row r="35" spans="1:20" ht="15">
      <c r="A35" s="24" t="s">
        <v>234</v>
      </c>
      <c r="B35" s="27">
        <f>SUMIF(Camplist_Township,NFIAnalysis!$A35,Camplist_HH)</f>
        <v>208</v>
      </c>
      <c r="C35" s="27">
        <f>SUMIF(Camplist_Township,NFIAnalysis!$A35,Camplist_Popl)</f>
        <v>882</v>
      </c>
      <c r="D35" s="27">
        <f t="shared" si="18"/>
        <v>0</v>
      </c>
      <c r="E35" s="27">
        <f t="shared" si="19"/>
        <v>0</v>
      </c>
      <c r="F35" s="27">
        <f t="shared" si="20"/>
        <v>0</v>
      </c>
      <c r="G35" s="35">
        <f t="shared" si="31"/>
        <v>208</v>
      </c>
      <c r="H35" s="26">
        <f t="shared" si="21"/>
        <v>0</v>
      </c>
      <c r="I35" s="26">
        <f t="shared" si="32"/>
        <v>0</v>
      </c>
      <c r="J35" s="26">
        <f t="shared" si="22"/>
        <v>0</v>
      </c>
      <c r="K35" s="37">
        <f t="shared" si="33"/>
        <v>208</v>
      </c>
      <c r="L35" s="26">
        <f t="shared" si="23"/>
        <v>0</v>
      </c>
      <c r="M35" s="26">
        <f t="shared" si="24"/>
        <v>0</v>
      </c>
      <c r="N35" s="26">
        <f t="shared" si="25"/>
        <v>0</v>
      </c>
      <c r="O35" s="37">
        <f t="shared" si="34"/>
        <v>208</v>
      </c>
      <c r="P35" s="26">
        <f t="shared" si="26"/>
        <v>0</v>
      </c>
      <c r="Q35" s="26">
        <f t="shared" si="27"/>
        <v>0</v>
      </c>
      <c r="R35" s="26">
        <f t="shared" si="28"/>
        <v>0</v>
      </c>
      <c r="S35" s="26">
        <f t="shared" si="29"/>
        <v>0</v>
      </c>
      <c r="T35" s="26">
        <f t="shared" si="30"/>
        <v>0</v>
      </c>
    </row>
    <row r="36" spans="1:20" ht="15">
      <c r="A36" s="24" t="s">
        <v>241</v>
      </c>
      <c r="B36" s="27">
        <f>SUMIF(Camplist_Township,NFIAnalysis!$A36,Camplist_HH)</f>
        <v>1434</v>
      </c>
      <c r="C36" s="27">
        <f>SUMIF(Camplist_Township,NFIAnalysis!$A36,Camplist_Popl)</f>
        <v>6480</v>
      </c>
      <c r="D36" s="27">
        <f t="shared" si="18"/>
        <v>0</v>
      </c>
      <c r="E36" s="27">
        <f t="shared" si="19"/>
        <v>0</v>
      </c>
      <c r="F36" s="27">
        <f t="shared" si="20"/>
        <v>0</v>
      </c>
      <c r="G36" s="35">
        <f t="shared" si="31"/>
        <v>1434</v>
      </c>
      <c r="H36" s="26">
        <f t="shared" si="21"/>
        <v>0</v>
      </c>
      <c r="I36" s="26">
        <f t="shared" si="32"/>
        <v>0</v>
      </c>
      <c r="J36" s="26">
        <f t="shared" si="22"/>
        <v>0</v>
      </c>
      <c r="K36" s="37">
        <f t="shared" si="33"/>
        <v>1434</v>
      </c>
      <c r="L36" s="26">
        <f t="shared" si="23"/>
        <v>0</v>
      </c>
      <c r="M36" s="26">
        <f t="shared" si="24"/>
        <v>0</v>
      </c>
      <c r="N36" s="26">
        <f t="shared" si="25"/>
        <v>0</v>
      </c>
      <c r="O36" s="37">
        <f t="shared" si="34"/>
        <v>1434</v>
      </c>
      <c r="P36" s="26">
        <f t="shared" si="26"/>
        <v>0</v>
      </c>
      <c r="Q36" s="26">
        <f t="shared" si="27"/>
        <v>0</v>
      </c>
      <c r="R36" s="26">
        <f t="shared" si="28"/>
        <v>0</v>
      </c>
      <c r="S36" s="26">
        <f t="shared" si="29"/>
        <v>0</v>
      </c>
      <c r="T36" s="26">
        <f t="shared" si="30"/>
        <v>0</v>
      </c>
    </row>
    <row r="37" spans="1:20" ht="15">
      <c r="A37" s="24" t="s">
        <v>294</v>
      </c>
      <c r="B37" s="27">
        <f>SUMIF(Camplist_Township,NFIAnalysis!$A37,Camplist_HH)</f>
        <v>284</v>
      </c>
      <c r="C37" s="27">
        <f>SUMIF(Camplist_Township,NFIAnalysis!$A37,Camplist_Popl)</f>
        <v>1367</v>
      </c>
      <c r="D37" s="27">
        <f t="shared" si="18"/>
        <v>0</v>
      </c>
      <c r="E37" s="27">
        <f t="shared" si="19"/>
        <v>0</v>
      </c>
      <c r="F37" s="27">
        <f t="shared" si="20"/>
        <v>0</v>
      </c>
      <c r="G37" s="35">
        <f t="shared" si="31"/>
        <v>284</v>
      </c>
      <c r="H37" s="26">
        <f t="shared" si="21"/>
        <v>0</v>
      </c>
      <c r="I37" s="26">
        <f t="shared" si="32"/>
        <v>0</v>
      </c>
      <c r="J37" s="26">
        <f t="shared" si="22"/>
        <v>0</v>
      </c>
      <c r="K37" s="37">
        <f t="shared" si="33"/>
        <v>284</v>
      </c>
      <c r="L37" s="26">
        <f t="shared" si="23"/>
        <v>0</v>
      </c>
      <c r="M37" s="26">
        <f t="shared" si="24"/>
        <v>0</v>
      </c>
      <c r="N37" s="26">
        <f t="shared" si="25"/>
        <v>0</v>
      </c>
      <c r="O37" s="37">
        <f t="shared" si="34"/>
        <v>284</v>
      </c>
      <c r="P37" s="26">
        <f t="shared" si="26"/>
        <v>0</v>
      </c>
      <c r="Q37" s="26">
        <f t="shared" si="27"/>
        <v>0</v>
      </c>
      <c r="R37" s="26">
        <f t="shared" si="28"/>
        <v>0</v>
      </c>
      <c r="S37" s="26">
        <f t="shared" si="29"/>
        <v>0</v>
      </c>
      <c r="T37" s="26">
        <f t="shared" si="30"/>
        <v>0</v>
      </c>
    </row>
    <row r="38" spans="1:20" ht="15">
      <c r="A38" s="24" t="s">
        <v>303</v>
      </c>
      <c r="B38" s="27">
        <f>SUMIF(Camplist_Township,NFIAnalysis!$A38,Camplist_HH)</f>
        <v>18</v>
      </c>
      <c r="C38" s="27">
        <f>SUMIF(Camplist_Township,NFIAnalysis!$A38,Camplist_Popl)</f>
        <v>74</v>
      </c>
      <c r="D38" s="27">
        <f t="shared" si="18"/>
        <v>0</v>
      </c>
      <c r="E38" s="27">
        <f t="shared" si="19"/>
        <v>0</v>
      </c>
      <c r="F38" s="27">
        <f t="shared" si="20"/>
        <v>0</v>
      </c>
      <c r="G38" s="35">
        <f t="shared" si="31"/>
        <v>18</v>
      </c>
      <c r="H38" s="26">
        <f t="shared" si="21"/>
        <v>0</v>
      </c>
      <c r="I38" s="26">
        <f t="shared" si="32"/>
        <v>0</v>
      </c>
      <c r="J38" s="26">
        <f t="shared" si="22"/>
        <v>0</v>
      </c>
      <c r="K38" s="37">
        <f t="shared" si="33"/>
        <v>18</v>
      </c>
      <c r="L38" s="26">
        <f t="shared" si="23"/>
        <v>0</v>
      </c>
      <c r="M38" s="26">
        <f t="shared" si="24"/>
        <v>0</v>
      </c>
      <c r="N38" s="26">
        <f t="shared" si="25"/>
        <v>0</v>
      </c>
      <c r="O38" s="37">
        <f t="shared" si="34"/>
        <v>18</v>
      </c>
      <c r="P38" s="26">
        <f t="shared" si="26"/>
        <v>0</v>
      </c>
      <c r="Q38" s="26">
        <f t="shared" si="27"/>
        <v>0</v>
      </c>
      <c r="R38" s="26">
        <f t="shared" si="28"/>
        <v>0</v>
      </c>
      <c r="S38" s="26">
        <f t="shared" si="29"/>
        <v>0</v>
      </c>
      <c r="T38" s="26">
        <f t="shared" si="30"/>
        <v>0</v>
      </c>
    </row>
    <row r="39" spans="1:20" ht="15">
      <c r="A39" s="24" t="s">
        <v>306</v>
      </c>
      <c r="B39" s="27">
        <f>SUMIF(Camplist_Township,NFIAnalysis!$A39,Camplist_HH)</f>
        <v>0</v>
      </c>
      <c r="C39" s="27">
        <f>SUMIF(Camplist_Township,NFIAnalysis!$A39,Camplist_Popl)</f>
        <v>0</v>
      </c>
      <c r="D39" s="27">
        <f t="shared" si="18"/>
        <v>0</v>
      </c>
      <c r="E39" s="27">
        <f t="shared" si="19"/>
        <v>0</v>
      </c>
      <c r="F39" s="27">
        <f t="shared" si="20"/>
        <v>0</v>
      </c>
      <c r="G39" s="35">
        <f t="shared" si="31"/>
        <v>0</v>
      </c>
      <c r="H39" s="26">
        <f t="shared" si="21"/>
        <v>0</v>
      </c>
      <c r="I39" s="26">
        <f t="shared" si="32"/>
        <v>0</v>
      </c>
      <c r="J39" s="26">
        <f t="shared" si="22"/>
        <v>0</v>
      </c>
      <c r="K39" s="37">
        <f t="shared" si="33"/>
        <v>0</v>
      </c>
      <c r="L39" s="26">
        <f t="shared" si="23"/>
        <v>0</v>
      </c>
      <c r="M39" s="26">
        <f t="shared" si="24"/>
        <v>0</v>
      </c>
      <c r="N39" s="26">
        <f t="shared" si="25"/>
        <v>0</v>
      </c>
      <c r="O39" s="37">
        <f t="shared" si="34"/>
        <v>0</v>
      </c>
      <c r="P39" s="26">
        <f t="shared" si="26"/>
        <v>0</v>
      </c>
      <c r="Q39" s="26">
        <f t="shared" si="27"/>
        <v>0</v>
      </c>
      <c r="R39" s="26">
        <f t="shared" si="28"/>
        <v>0</v>
      </c>
      <c r="S39" s="26">
        <f t="shared" si="29"/>
        <v>0</v>
      </c>
      <c r="T39" s="26">
        <f t="shared" si="30"/>
        <v>0</v>
      </c>
    </row>
    <row r="40" spans="1:20" ht="15">
      <c r="A40" s="24" t="s">
        <v>308</v>
      </c>
      <c r="B40" s="27">
        <f>SUMIF(Camplist_Township,NFIAnalysis!$A40,Camplist_HH)</f>
        <v>535</v>
      </c>
      <c r="C40" s="27">
        <f>SUMIF(Camplist_Township,NFIAnalysis!$A40,Camplist_Popl)</f>
        <v>2153</v>
      </c>
      <c r="D40" s="27">
        <f t="shared" si="18"/>
        <v>0</v>
      </c>
      <c r="E40" s="27">
        <f t="shared" si="19"/>
        <v>0</v>
      </c>
      <c r="F40" s="27">
        <f t="shared" si="20"/>
        <v>0</v>
      </c>
      <c r="G40" s="35">
        <f t="shared" si="31"/>
        <v>535</v>
      </c>
      <c r="H40" s="26">
        <f t="shared" si="21"/>
        <v>0</v>
      </c>
      <c r="I40" s="26">
        <f t="shared" si="32"/>
        <v>0</v>
      </c>
      <c r="J40" s="26">
        <f t="shared" si="22"/>
        <v>0</v>
      </c>
      <c r="K40" s="37">
        <f t="shared" si="33"/>
        <v>535</v>
      </c>
      <c r="L40" s="26">
        <f t="shared" si="23"/>
        <v>0</v>
      </c>
      <c r="M40" s="26">
        <f t="shared" si="24"/>
        <v>0</v>
      </c>
      <c r="N40" s="26">
        <f t="shared" si="25"/>
        <v>0</v>
      </c>
      <c r="O40" s="37">
        <f t="shared" si="34"/>
        <v>535</v>
      </c>
      <c r="P40" s="26">
        <f t="shared" si="26"/>
        <v>0</v>
      </c>
      <c r="Q40" s="26">
        <f t="shared" si="27"/>
        <v>0</v>
      </c>
      <c r="R40" s="26">
        <f t="shared" si="28"/>
        <v>0</v>
      </c>
      <c r="S40" s="26">
        <f t="shared" si="29"/>
        <v>0</v>
      </c>
      <c r="T40" s="26">
        <f t="shared" si="30"/>
        <v>0</v>
      </c>
    </row>
    <row r="41" spans="1:20" ht="15">
      <c r="A41" s="28" t="s">
        <v>316</v>
      </c>
      <c r="B41" s="27">
        <f>SUMIF(Camplist_Township,NFIAnalysis!$A41,Camplist_HH)</f>
        <v>5769</v>
      </c>
      <c r="C41" s="27">
        <f>SUMIF(Camplist_Township,NFIAnalysis!$A41,Camplist_Popl)</f>
        <v>26775</v>
      </c>
      <c r="D41" s="27">
        <f ca="1" t="shared" si="18"/>
        <v>0</v>
      </c>
      <c r="E41" s="27">
        <f t="shared" si="19"/>
        <v>0</v>
      </c>
      <c r="F41" s="27">
        <f t="shared" si="20"/>
        <v>0</v>
      </c>
      <c r="G41" s="35">
        <f ca="1" t="shared" si="31"/>
        <v>5769</v>
      </c>
      <c r="H41" s="26">
        <f ca="1" t="shared" si="21"/>
        <v>0</v>
      </c>
      <c r="I41" s="26">
        <f t="shared" si="32"/>
        <v>0</v>
      </c>
      <c r="J41" s="26">
        <f t="shared" si="22"/>
        <v>0</v>
      </c>
      <c r="K41" s="37">
        <f ca="1" t="shared" si="33"/>
        <v>5769</v>
      </c>
      <c r="L41" s="26">
        <f ca="1" t="shared" si="23"/>
        <v>0</v>
      </c>
      <c r="M41" s="26">
        <f t="shared" si="24"/>
        <v>0</v>
      </c>
      <c r="N41" s="26">
        <f t="shared" si="25"/>
        <v>0</v>
      </c>
      <c r="O41" s="37">
        <f ca="1" t="shared" si="34"/>
        <v>5769</v>
      </c>
      <c r="P41" s="26">
        <f ca="1" t="shared" si="26"/>
        <v>0</v>
      </c>
      <c r="Q41" s="26">
        <f ca="1" t="shared" si="27"/>
        <v>0</v>
      </c>
      <c r="R41" s="26">
        <f ca="1" t="shared" si="28"/>
        <v>0</v>
      </c>
      <c r="S41" s="26">
        <f ca="1" t="shared" si="29"/>
        <v>0</v>
      </c>
      <c r="T41" s="26">
        <f ca="1" t="shared" si="30"/>
        <v>0</v>
      </c>
    </row>
    <row r="42" spans="1:20" ht="15">
      <c r="A42" s="29" t="s">
        <v>5</v>
      </c>
      <c r="B42" s="29">
        <f>SUM(B23:B41)</f>
        <v>18338.6</v>
      </c>
      <c r="C42" s="29">
        <f aca="true" t="shared" si="35" ref="C42:T42">SUM(C23:C41)</f>
        <v>83793</v>
      </c>
      <c r="D42" s="29">
        <f ca="1" t="shared" si="35"/>
        <v>60</v>
      </c>
      <c r="E42" s="29">
        <f t="shared" si="35"/>
        <v>0</v>
      </c>
      <c r="F42" s="29">
        <f t="shared" si="35"/>
        <v>0</v>
      </c>
      <c r="G42" s="36">
        <f ca="1" t="shared" si="35"/>
        <v>18278.6</v>
      </c>
      <c r="H42" s="29">
        <f ca="1" t="shared" si="35"/>
        <v>0</v>
      </c>
      <c r="I42" s="29">
        <f t="shared" si="35"/>
        <v>0</v>
      </c>
      <c r="J42" s="29">
        <f t="shared" si="35"/>
        <v>0</v>
      </c>
      <c r="K42" s="36">
        <f ca="1" t="shared" si="35"/>
        <v>18338.6</v>
      </c>
      <c r="L42" s="29">
        <f ca="1" t="shared" si="35"/>
        <v>0</v>
      </c>
      <c r="M42" s="29">
        <f t="shared" si="35"/>
        <v>0</v>
      </c>
      <c r="N42" s="29">
        <f t="shared" si="35"/>
        <v>0</v>
      </c>
      <c r="O42" s="36">
        <f ca="1" t="shared" si="35"/>
        <v>18338.6</v>
      </c>
      <c r="P42" s="29">
        <f ca="1" t="shared" si="35"/>
        <v>0</v>
      </c>
      <c r="Q42" s="29">
        <f ca="1" t="shared" si="35"/>
        <v>0</v>
      </c>
      <c r="R42" s="29">
        <f ca="1" t="shared" si="35"/>
        <v>0</v>
      </c>
      <c r="S42" s="29">
        <f ca="1" t="shared" si="35"/>
        <v>0</v>
      </c>
      <c r="T42" s="29">
        <f ca="1" t="shared" si="35"/>
        <v>0</v>
      </c>
    </row>
    <row r="44" spans="1:11" ht="21">
      <c r="A44" s="30"/>
      <c r="K44" s="31"/>
    </row>
  </sheetData>
  <mergeCells count="13">
    <mergeCell ref="A3:C3"/>
    <mergeCell ref="A6:A7"/>
    <mergeCell ref="A21:A22"/>
    <mergeCell ref="B21:B22"/>
    <mergeCell ref="C21:C22"/>
    <mergeCell ref="D21:G21"/>
    <mergeCell ref="B6:B7"/>
    <mergeCell ref="C6:C7"/>
    <mergeCell ref="L21:O21"/>
    <mergeCell ref="D6:G6"/>
    <mergeCell ref="H6:K6"/>
    <mergeCell ref="L6:O6"/>
    <mergeCell ref="H21:K21"/>
  </mergeCells>
  <printOptions/>
  <pageMargins left="0.25" right="0.25" top="0.75" bottom="0.75" header="0.3" footer="0.3"/>
  <pageSetup fitToHeight="1" fitToWidth="1" horizontalDpi="600" verticalDpi="600" orientation="landscape" paperSize="9" scale="4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G69"/>
  <sheetViews>
    <sheetView showZeros="0" zoomScale="60" zoomScaleNormal="60" workbookViewId="0" topLeftCell="A1"/>
  </sheetViews>
  <sheetFormatPr defaultColWidth="11.421875" defaultRowHeight="15"/>
  <cols>
    <col min="1" max="1" width="5.28125" style="132" customWidth="1"/>
    <col min="2" max="2" width="24.7109375" style="130" customWidth="1"/>
    <col min="3" max="3" width="8.7109375" style="130" customWidth="1"/>
    <col min="4" max="4" width="11.28125" style="130" customWidth="1"/>
    <col min="5" max="5" width="10.8515625" style="130" customWidth="1"/>
    <col min="6" max="6" width="10.57421875" style="130" customWidth="1"/>
    <col min="7" max="8" width="11.421875" style="130" customWidth="1"/>
    <col min="9" max="9" width="13.00390625" style="130" customWidth="1"/>
    <col min="10" max="10" width="12.8515625" style="130" customWidth="1"/>
    <col min="11" max="12" width="10.57421875" style="130" bestFit="1" customWidth="1"/>
    <col min="13" max="14" width="11.421875" style="130" customWidth="1"/>
    <col min="15" max="15" width="6.140625" style="132" customWidth="1"/>
    <col min="16" max="26" width="11.421875" style="132" customWidth="1"/>
    <col min="27" max="256" width="11.421875" style="130" customWidth="1"/>
    <col min="257" max="257" width="5.28125" style="130" customWidth="1"/>
    <col min="258" max="258" width="15.28125" style="130" customWidth="1"/>
    <col min="259" max="259" width="14.421875" style="130" bestFit="1" customWidth="1"/>
    <col min="260" max="260" width="10.421875" style="130" bestFit="1" customWidth="1"/>
    <col min="261" max="261" width="12.28125" style="130" customWidth="1"/>
    <col min="262" max="266" width="11.421875" style="130" customWidth="1"/>
    <col min="267" max="268" width="10.57421875" style="130" bestFit="1" customWidth="1"/>
    <col min="269" max="270" width="11.421875" style="130" customWidth="1"/>
    <col min="271" max="271" width="6.140625" style="130" customWidth="1"/>
    <col min="272" max="512" width="11.421875" style="130" customWidth="1"/>
    <col min="513" max="513" width="5.28125" style="130" customWidth="1"/>
    <col min="514" max="514" width="15.28125" style="130" customWidth="1"/>
    <col min="515" max="515" width="14.421875" style="130" bestFit="1" customWidth="1"/>
    <col min="516" max="516" width="10.421875" style="130" bestFit="1" customWidth="1"/>
    <col min="517" max="517" width="12.28125" style="130" customWidth="1"/>
    <col min="518" max="522" width="11.421875" style="130" customWidth="1"/>
    <col min="523" max="524" width="10.57421875" style="130" bestFit="1" customWidth="1"/>
    <col min="525" max="526" width="11.421875" style="130" customWidth="1"/>
    <col min="527" max="527" width="6.140625" style="130" customWidth="1"/>
    <col min="528" max="768" width="11.421875" style="130" customWidth="1"/>
    <col min="769" max="769" width="5.28125" style="130" customWidth="1"/>
    <col min="770" max="770" width="15.28125" style="130" customWidth="1"/>
    <col min="771" max="771" width="14.421875" style="130" bestFit="1" customWidth="1"/>
    <col min="772" max="772" width="10.421875" style="130" bestFit="1" customWidth="1"/>
    <col min="773" max="773" width="12.28125" style="130" customWidth="1"/>
    <col min="774" max="778" width="11.421875" style="130" customWidth="1"/>
    <col min="779" max="780" width="10.57421875" style="130" bestFit="1" customWidth="1"/>
    <col min="781" max="782" width="11.421875" style="130" customWidth="1"/>
    <col min="783" max="783" width="6.140625" style="130" customWidth="1"/>
    <col min="784" max="1024" width="11.421875" style="130" customWidth="1"/>
    <col min="1025" max="1025" width="5.28125" style="130" customWidth="1"/>
    <col min="1026" max="1026" width="15.28125" style="130" customWidth="1"/>
    <col min="1027" max="1027" width="14.421875" style="130" bestFit="1" customWidth="1"/>
    <col min="1028" max="1028" width="10.421875" style="130" bestFit="1" customWidth="1"/>
    <col min="1029" max="1029" width="12.28125" style="130" customWidth="1"/>
    <col min="1030" max="1034" width="11.421875" style="130" customWidth="1"/>
    <col min="1035" max="1036" width="10.57421875" style="130" bestFit="1" customWidth="1"/>
    <col min="1037" max="1038" width="11.421875" style="130" customWidth="1"/>
    <col min="1039" max="1039" width="6.140625" style="130" customWidth="1"/>
    <col min="1040" max="1280" width="11.421875" style="130" customWidth="1"/>
    <col min="1281" max="1281" width="5.28125" style="130" customWidth="1"/>
    <col min="1282" max="1282" width="15.28125" style="130" customWidth="1"/>
    <col min="1283" max="1283" width="14.421875" style="130" bestFit="1" customWidth="1"/>
    <col min="1284" max="1284" width="10.421875" style="130" bestFit="1" customWidth="1"/>
    <col min="1285" max="1285" width="12.28125" style="130" customWidth="1"/>
    <col min="1286" max="1290" width="11.421875" style="130" customWidth="1"/>
    <col min="1291" max="1292" width="10.57421875" style="130" bestFit="1" customWidth="1"/>
    <col min="1293" max="1294" width="11.421875" style="130" customWidth="1"/>
    <col min="1295" max="1295" width="6.140625" style="130" customWidth="1"/>
    <col min="1296" max="1536" width="11.421875" style="130" customWidth="1"/>
    <col min="1537" max="1537" width="5.28125" style="130" customWidth="1"/>
    <col min="1538" max="1538" width="15.28125" style="130" customWidth="1"/>
    <col min="1539" max="1539" width="14.421875" style="130" bestFit="1" customWidth="1"/>
    <col min="1540" max="1540" width="10.421875" style="130" bestFit="1" customWidth="1"/>
    <col min="1541" max="1541" width="12.28125" style="130" customWidth="1"/>
    <col min="1542" max="1546" width="11.421875" style="130" customWidth="1"/>
    <col min="1547" max="1548" width="10.57421875" style="130" bestFit="1" customWidth="1"/>
    <col min="1549" max="1550" width="11.421875" style="130" customWidth="1"/>
    <col min="1551" max="1551" width="6.140625" style="130" customWidth="1"/>
    <col min="1552" max="1792" width="11.421875" style="130" customWidth="1"/>
    <col min="1793" max="1793" width="5.28125" style="130" customWidth="1"/>
    <col min="1794" max="1794" width="15.28125" style="130" customWidth="1"/>
    <col min="1795" max="1795" width="14.421875" style="130" bestFit="1" customWidth="1"/>
    <col min="1796" max="1796" width="10.421875" style="130" bestFit="1" customWidth="1"/>
    <col min="1797" max="1797" width="12.28125" style="130" customWidth="1"/>
    <col min="1798" max="1802" width="11.421875" style="130" customWidth="1"/>
    <col min="1803" max="1804" width="10.57421875" style="130" bestFit="1" customWidth="1"/>
    <col min="1805" max="1806" width="11.421875" style="130" customWidth="1"/>
    <col min="1807" max="1807" width="6.140625" style="130" customWidth="1"/>
    <col min="1808" max="2048" width="11.421875" style="130" customWidth="1"/>
    <col min="2049" max="2049" width="5.28125" style="130" customWidth="1"/>
    <col min="2050" max="2050" width="15.28125" style="130" customWidth="1"/>
    <col min="2051" max="2051" width="14.421875" style="130" bestFit="1" customWidth="1"/>
    <col min="2052" max="2052" width="10.421875" style="130" bestFit="1" customWidth="1"/>
    <col min="2053" max="2053" width="12.28125" style="130" customWidth="1"/>
    <col min="2054" max="2058" width="11.421875" style="130" customWidth="1"/>
    <col min="2059" max="2060" width="10.57421875" style="130" bestFit="1" customWidth="1"/>
    <col min="2061" max="2062" width="11.421875" style="130" customWidth="1"/>
    <col min="2063" max="2063" width="6.140625" style="130" customWidth="1"/>
    <col min="2064" max="2304" width="11.421875" style="130" customWidth="1"/>
    <col min="2305" max="2305" width="5.28125" style="130" customWidth="1"/>
    <col min="2306" max="2306" width="15.28125" style="130" customWidth="1"/>
    <col min="2307" max="2307" width="14.421875" style="130" bestFit="1" customWidth="1"/>
    <col min="2308" max="2308" width="10.421875" style="130" bestFit="1" customWidth="1"/>
    <col min="2309" max="2309" width="12.28125" style="130" customWidth="1"/>
    <col min="2310" max="2314" width="11.421875" style="130" customWidth="1"/>
    <col min="2315" max="2316" width="10.57421875" style="130" bestFit="1" customWidth="1"/>
    <col min="2317" max="2318" width="11.421875" style="130" customWidth="1"/>
    <col min="2319" max="2319" width="6.140625" style="130" customWidth="1"/>
    <col min="2320" max="2560" width="11.421875" style="130" customWidth="1"/>
    <col min="2561" max="2561" width="5.28125" style="130" customWidth="1"/>
    <col min="2562" max="2562" width="15.28125" style="130" customWidth="1"/>
    <col min="2563" max="2563" width="14.421875" style="130" bestFit="1" customWidth="1"/>
    <col min="2564" max="2564" width="10.421875" style="130" bestFit="1" customWidth="1"/>
    <col min="2565" max="2565" width="12.28125" style="130" customWidth="1"/>
    <col min="2566" max="2570" width="11.421875" style="130" customWidth="1"/>
    <col min="2571" max="2572" width="10.57421875" style="130" bestFit="1" customWidth="1"/>
    <col min="2573" max="2574" width="11.421875" style="130" customWidth="1"/>
    <col min="2575" max="2575" width="6.140625" style="130" customWidth="1"/>
    <col min="2576" max="2816" width="11.421875" style="130" customWidth="1"/>
    <col min="2817" max="2817" width="5.28125" style="130" customWidth="1"/>
    <col min="2818" max="2818" width="15.28125" style="130" customWidth="1"/>
    <col min="2819" max="2819" width="14.421875" style="130" bestFit="1" customWidth="1"/>
    <col min="2820" max="2820" width="10.421875" style="130" bestFit="1" customWidth="1"/>
    <col min="2821" max="2821" width="12.28125" style="130" customWidth="1"/>
    <col min="2822" max="2826" width="11.421875" style="130" customWidth="1"/>
    <col min="2827" max="2828" width="10.57421875" style="130" bestFit="1" customWidth="1"/>
    <col min="2829" max="2830" width="11.421875" style="130" customWidth="1"/>
    <col min="2831" max="2831" width="6.140625" style="130" customWidth="1"/>
    <col min="2832" max="3072" width="11.421875" style="130" customWidth="1"/>
    <col min="3073" max="3073" width="5.28125" style="130" customWidth="1"/>
    <col min="3074" max="3074" width="15.28125" style="130" customWidth="1"/>
    <col min="3075" max="3075" width="14.421875" style="130" bestFit="1" customWidth="1"/>
    <col min="3076" max="3076" width="10.421875" style="130" bestFit="1" customWidth="1"/>
    <col min="3077" max="3077" width="12.28125" style="130" customWidth="1"/>
    <col min="3078" max="3082" width="11.421875" style="130" customWidth="1"/>
    <col min="3083" max="3084" width="10.57421875" style="130" bestFit="1" customWidth="1"/>
    <col min="3085" max="3086" width="11.421875" style="130" customWidth="1"/>
    <col min="3087" max="3087" width="6.140625" style="130" customWidth="1"/>
    <col min="3088" max="3328" width="11.421875" style="130" customWidth="1"/>
    <col min="3329" max="3329" width="5.28125" style="130" customWidth="1"/>
    <col min="3330" max="3330" width="15.28125" style="130" customWidth="1"/>
    <col min="3331" max="3331" width="14.421875" style="130" bestFit="1" customWidth="1"/>
    <col min="3332" max="3332" width="10.421875" style="130" bestFit="1" customWidth="1"/>
    <col min="3333" max="3333" width="12.28125" style="130" customWidth="1"/>
    <col min="3334" max="3338" width="11.421875" style="130" customWidth="1"/>
    <col min="3339" max="3340" width="10.57421875" style="130" bestFit="1" customWidth="1"/>
    <col min="3341" max="3342" width="11.421875" style="130" customWidth="1"/>
    <col min="3343" max="3343" width="6.140625" style="130" customWidth="1"/>
    <col min="3344" max="3584" width="11.421875" style="130" customWidth="1"/>
    <col min="3585" max="3585" width="5.28125" style="130" customWidth="1"/>
    <col min="3586" max="3586" width="15.28125" style="130" customWidth="1"/>
    <col min="3587" max="3587" width="14.421875" style="130" bestFit="1" customWidth="1"/>
    <col min="3588" max="3588" width="10.421875" style="130" bestFit="1" customWidth="1"/>
    <col min="3589" max="3589" width="12.28125" style="130" customWidth="1"/>
    <col min="3590" max="3594" width="11.421875" style="130" customWidth="1"/>
    <col min="3595" max="3596" width="10.57421875" style="130" bestFit="1" customWidth="1"/>
    <col min="3597" max="3598" width="11.421875" style="130" customWidth="1"/>
    <col min="3599" max="3599" width="6.140625" style="130" customWidth="1"/>
    <col min="3600" max="3840" width="11.421875" style="130" customWidth="1"/>
    <col min="3841" max="3841" width="5.28125" style="130" customWidth="1"/>
    <col min="3842" max="3842" width="15.28125" style="130" customWidth="1"/>
    <col min="3843" max="3843" width="14.421875" style="130" bestFit="1" customWidth="1"/>
    <col min="3844" max="3844" width="10.421875" style="130" bestFit="1" customWidth="1"/>
    <col min="3845" max="3845" width="12.28125" style="130" customWidth="1"/>
    <col min="3846" max="3850" width="11.421875" style="130" customWidth="1"/>
    <col min="3851" max="3852" width="10.57421875" style="130" bestFit="1" customWidth="1"/>
    <col min="3853" max="3854" width="11.421875" style="130" customWidth="1"/>
    <col min="3855" max="3855" width="6.140625" style="130" customWidth="1"/>
    <col min="3856" max="4096" width="11.421875" style="130" customWidth="1"/>
    <col min="4097" max="4097" width="5.28125" style="130" customWidth="1"/>
    <col min="4098" max="4098" width="15.28125" style="130" customWidth="1"/>
    <col min="4099" max="4099" width="14.421875" style="130" bestFit="1" customWidth="1"/>
    <col min="4100" max="4100" width="10.421875" style="130" bestFit="1" customWidth="1"/>
    <col min="4101" max="4101" width="12.28125" style="130" customWidth="1"/>
    <col min="4102" max="4106" width="11.421875" style="130" customWidth="1"/>
    <col min="4107" max="4108" width="10.57421875" style="130" bestFit="1" customWidth="1"/>
    <col min="4109" max="4110" width="11.421875" style="130" customWidth="1"/>
    <col min="4111" max="4111" width="6.140625" style="130" customWidth="1"/>
    <col min="4112" max="4352" width="11.421875" style="130" customWidth="1"/>
    <col min="4353" max="4353" width="5.28125" style="130" customWidth="1"/>
    <col min="4354" max="4354" width="15.28125" style="130" customWidth="1"/>
    <col min="4355" max="4355" width="14.421875" style="130" bestFit="1" customWidth="1"/>
    <col min="4356" max="4356" width="10.421875" style="130" bestFit="1" customWidth="1"/>
    <col min="4357" max="4357" width="12.28125" style="130" customWidth="1"/>
    <col min="4358" max="4362" width="11.421875" style="130" customWidth="1"/>
    <col min="4363" max="4364" width="10.57421875" style="130" bestFit="1" customWidth="1"/>
    <col min="4365" max="4366" width="11.421875" style="130" customWidth="1"/>
    <col min="4367" max="4367" width="6.140625" style="130" customWidth="1"/>
    <col min="4368" max="4608" width="11.421875" style="130" customWidth="1"/>
    <col min="4609" max="4609" width="5.28125" style="130" customWidth="1"/>
    <col min="4610" max="4610" width="15.28125" style="130" customWidth="1"/>
    <col min="4611" max="4611" width="14.421875" style="130" bestFit="1" customWidth="1"/>
    <col min="4612" max="4612" width="10.421875" style="130" bestFit="1" customWidth="1"/>
    <col min="4613" max="4613" width="12.28125" style="130" customWidth="1"/>
    <col min="4614" max="4618" width="11.421875" style="130" customWidth="1"/>
    <col min="4619" max="4620" width="10.57421875" style="130" bestFit="1" customWidth="1"/>
    <col min="4621" max="4622" width="11.421875" style="130" customWidth="1"/>
    <col min="4623" max="4623" width="6.140625" style="130" customWidth="1"/>
    <col min="4624" max="4864" width="11.421875" style="130" customWidth="1"/>
    <col min="4865" max="4865" width="5.28125" style="130" customWidth="1"/>
    <col min="4866" max="4866" width="15.28125" style="130" customWidth="1"/>
    <col min="4867" max="4867" width="14.421875" style="130" bestFit="1" customWidth="1"/>
    <col min="4868" max="4868" width="10.421875" style="130" bestFit="1" customWidth="1"/>
    <col min="4869" max="4869" width="12.28125" style="130" customWidth="1"/>
    <col min="4870" max="4874" width="11.421875" style="130" customWidth="1"/>
    <col min="4875" max="4876" width="10.57421875" style="130" bestFit="1" customWidth="1"/>
    <col min="4877" max="4878" width="11.421875" style="130" customWidth="1"/>
    <col min="4879" max="4879" width="6.140625" style="130" customWidth="1"/>
    <col min="4880" max="5120" width="11.421875" style="130" customWidth="1"/>
    <col min="5121" max="5121" width="5.28125" style="130" customWidth="1"/>
    <col min="5122" max="5122" width="15.28125" style="130" customWidth="1"/>
    <col min="5123" max="5123" width="14.421875" style="130" bestFit="1" customWidth="1"/>
    <col min="5124" max="5124" width="10.421875" style="130" bestFit="1" customWidth="1"/>
    <col min="5125" max="5125" width="12.28125" style="130" customWidth="1"/>
    <col min="5126" max="5130" width="11.421875" style="130" customWidth="1"/>
    <col min="5131" max="5132" width="10.57421875" style="130" bestFit="1" customWidth="1"/>
    <col min="5133" max="5134" width="11.421875" style="130" customWidth="1"/>
    <col min="5135" max="5135" width="6.140625" style="130" customWidth="1"/>
    <col min="5136" max="5376" width="11.421875" style="130" customWidth="1"/>
    <col min="5377" max="5377" width="5.28125" style="130" customWidth="1"/>
    <col min="5378" max="5378" width="15.28125" style="130" customWidth="1"/>
    <col min="5379" max="5379" width="14.421875" style="130" bestFit="1" customWidth="1"/>
    <col min="5380" max="5380" width="10.421875" style="130" bestFit="1" customWidth="1"/>
    <col min="5381" max="5381" width="12.28125" style="130" customWidth="1"/>
    <col min="5382" max="5386" width="11.421875" style="130" customWidth="1"/>
    <col min="5387" max="5388" width="10.57421875" style="130" bestFit="1" customWidth="1"/>
    <col min="5389" max="5390" width="11.421875" style="130" customWidth="1"/>
    <col min="5391" max="5391" width="6.140625" style="130" customWidth="1"/>
    <col min="5392" max="5632" width="11.421875" style="130" customWidth="1"/>
    <col min="5633" max="5633" width="5.28125" style="130" customWidth="1"/>
    <col min="5634" max="5634" width="15.28125" style="130" customWidth="1"/>
    <col min="5635" max="5635" width="14.421875" style="130" bestFit="1" customWidth="1"/>
    <col min="5636" max="5636" width="10.421875" style="130" bestFit="1" customWidth="1"/>
    <col min="5637" max="5637" width="12.28125" style="130" customWidth="1"/>
    <col min="5638" max="5642" width="11.421875" style="130" customWidth="1"/>
    <col min="5643" max="5644" width="10.57421875" style="130" bestFit="1" customWidth="1"/>
    <col min="5645" max="5646" width="11.421875" style="130" customWidth="1"/>
    <col min="5647" max="5647" width="6.140625" style="130" customWidth="1"/>
    <col min="5648" max="5888" width="11.421875" style="130" customWidth="1"/>
    <col min="5889" max="5889" width="5.28125" style="130" customWidth="1"/>
    <col min="5890" max="5890" width="15.28125" style="130" customWidth="1"/>
    <col min="5891" max="5891" width="14.421875" style="130" bestFit="1" customWidth="1"/>
    <col min="5892" max="5892" width="10.421875" style="130" bestFit="1" customWidth="1"/>
    <col min="5893" max="5893" width="12.28125" style="130" customWidth="1"/>
    <col min="5894" max="5898" width="11.421875" style="130" customWidth="1"/>
    <col min="5899" max="5900" width="10.57421875" style="130" bestFit="1" customWidth="1"/>
    <col min="5901" max="5902" width="11.421875" style="130" customWidth="1"/>
    <col min="5903" max="5903" width="6.140625" style="130" customWidth="1"/>
    <col min="5904" max="6144" width="11.421875" style="130" customWidth="1"/>
    <col min="6145" max="6145" width="5.28125" style="130" customWidth="1"/>
    <col min="6146" max="6146" width="15.28125" style="130" customWidth="1"/>
    <col min="6147" max="6147" width="14.421875" style="130" bestFit="1" customWidth="1"/>
    <col min="6148" max="6148" width="10.421875" style="130" bestFit="1" customWidth="1"/>
    <col min="6149" max="6149" width="12.28125" style="130" customWidth="1"/>
    <col min="6150" max="6154" width="11.421875" style="130" customWidth="1"/>
    <col min="6155" max="6156" width="10.57421875" style="130" bestFit="1" customWidth="1"/>
    <col min="6157" max="6158" width="11.421875" style="130" customWidth="1"/>
    <col min="6159" max="6159" width="6.140625" style="130" customWidth="1"/>
    <col min="6160" max="6400" width="11.421875" style="130" customWidth="1"/>
    <col min="6401" max="6401" width="5.28125" style="130" customWidth="1"/>
    <col min="6402" max="6402" width="15.28125" style="130" customWidth="1"/>
    <col min="6403" max="6403" width="14.421875" style="130" bestFit="1" customWidth="1"/>
    <col min="6404" max="6404" width="10.421875" style="130" bestFit="1" customWidth="1"/>
    <col min="6405" max="6405" width="12.28125" style="130" customWidth="1"/>
    <col min="6406" max="6410" width="11.421875" style="130" customWidth="1"/>
    <col min="6411" max="6412" width="10.57421875" style="130" bestFit="1" customWidth="1"/>
    <col min="6413" max="6414" width="11.421875" style="130" customWidth="1"/>
    <col min="6415" max="6415" width="6.140625" style="130" customWidth="1"/>
    <col min="6416" max="6656" width="11.421875" style="130" customWidth="1"/>
    <col min="6657" max="6657" width="5.28125" style="130" customWidth="1"/>
    <col min="6658" max="6658" width="15.28125" style="130" customWidth="1"/>
    <col min="6659" max="6659" width="14.421875" style="130" bestFit="1" customWidth="1"/>
    <col min="6660" max="6660" width="10.421875" style="130" bestFit="1" customWidth="1"/>
    <col min="6661" max="6661" width="12.28125" style="130" customWidth="1"/>
    <col min="6662" max="6666" width="11.421875" style="130" customWidth="1"/>
    <col min="6667" max="6668" width="10.57421875" style="130" bestFit="1" customWidth="1"/>
    <col min="6669" max="6670" width="11.421875" style="130" customWidth="1"/>
    <col min="6671" max="6671" width="6.140625" style="130" customWidth="1"/>
    <col min="6672" max="6912" width="11.421875" style="130" customWidth="1"/>
    <col min="6913" max="6913" width="5.28125" style="130" customWidth="1"/>
    <col min="6914" max="6914" width="15.28125" style="130" customWidth="1"/>
    <col min="6915" max="6915" width="14.421875" style="130" bestFit="1" customWidth="1"/>
    <col min="6916" max="6916" width="10.421875" style="130" bestFit="1" customWidth="1"/>
    <col min="6917" max="6917" width="12.28125" style="130" customWidth="1"/>
    <col min="6918" max="6922" width="11.421875" style="130" customWidth="1"/>
    <col min="6923" max="6924" width="10.57421875" style="130" bestFit="1" customWidth="1"/>
    <col min="6925" max="6926" width="11.421875" style="130" customWidth="1"/>
    <col min="6927" max="6927" width="6.140625" style="130" customWidth="1"/>
    <col min="6928" max="7168" width="11.421875" style="130" customWidth="1"/>
    <col min="7169" max="7169" width="5.28125" style="130" customWidth="1"/>
    <col min="7170" max="7170" width="15.28125" style="130" customWidth="1"/>
    <col min="7171" max="7171" width="14.421875" style="130" bestFit="1" customWidth="1"/>
    <col min="7172" max="7172" width="10.421875" style="130" bestFit="1" customWidth="1"/>
    <col min="7173" max="7173" width="12.28125" style="130" customWidth="1"/>
    <col min="7174" max="7178" width="11.421875" style="130" customWidth="1"/>
    <col min="7179" max="7180" width="10.57421875" style="130" bestFit="1" customWidth="1"/>
    <col min="7181" max="7182" width="11.421875" style="130" customWidth="1"/>
    <col min="7183" max="7183" width="6.140625" style="130" customWidth="1"/>
    <col min="7184" max="7424" width="11.421875" style="130" customWidth="1"/>
    <col min="7425" max="7425" width="5.28125" style="130" customWidth="1"/>
    <col min="7426" max="7426" width="15.28125" style="130" customWidth="1"/>
    <col min="7427" max="7427" width="14.421875" style="130" bestFit="1" customWidth="1"/>
    <col min="7428" max="7428" width="10.421875" style="130" bestFit="1" customWidth="1"/>
    <col min="7429" max="7429" width="12.28125" style="130" customWidth="1"/>
    <col min="7430" max="7434" width="11.421875" style="130" customWidth="1"/>
    <col min="7435" max="7436" width="10.57421875" style="130" bestFit="1" customWidth="1"/>
    <col min="7437" max="7438" width="11.421875" style="130" customWidth="1"/>
    <col min="7439" max="7439" width="6.140625" style="130" customWidth="1"/>
    <col min="7440" max="7680" width="11.421875" style="130" customWidth="1"/>
    <col min="7681" max="7681" width="5.28125" style="130" customWidth="1"/>
    <col min="7682" max="7682" width="15.28125" style="130" customWidth="1"/>
    <col min="7683" max="7683" width="14.421875" style="130" bestFit="1" customWidth="1"/>
    <col min="7684" max="7684" width="10.421875" style="130" bestFit="1" customWidth="1"/>
    <col min="7685" max="7685" width="12.28125" style="130" customWidth="1"/>
    <col min="7686" max="7690" width="11.421875" style="130" customWidth="1"/>
    <col min="7691" max="7692" width="10.57421875" style="130" bestFit="1" customWidth="1"/>
    <col min="7693" max="7694" width="11.421875" style="130" customWidth="1"/>
    <col min="7695" max="7695" width="6.140625" style="130" customWidth="1"/>
    <col min="7696" max="7936" width="11.421875" style="130" customWidth="1"/>
    <col min="7937" max="7937" width="5.28125" style="130" customWidth="1"/>
    <col min="7938" max="7938" width="15.28125" style="130" customWidth="1"/>
    <col min="7939" max="7939" width="14.421875" style="130" bestFit="1" customWidth="1"/>
    <col min="7940" max="7940" width="10.421875" style="130" bestFit="1" customWidth="1"/>
    <col min="7941" max="7941" width="12.28125" style="130" customWidth="1"/>
    <col min="7942" max="7946" width="11.421875" style="130" customWidth="1"/>
    <col min="7947" max="7948" width="10.57421875" style="130" bestFit="1" customWidth="1"/>
    <col min="7949" max="7950" width="11.421875" style="130" customWidth="1"/>
    <col min="7951" max="7951" width="6.140625" style="130" customWidth="1"/>
    <col min="7952" max="8192" width="11.421875" style="130" customWidth="1"/>
    <col min="8193" max="8193" width="5.28125" style="130" customWidth="1"/>
    <col min="8194" max="8194" width="15.28125" style="130" customWidth="1"/>
    <col min="8195" max="8195" width="14.421875" style="130" bestFit="1" customWidth="1"/>
    <col min="8196" max="8196" width="10.421875" style="130" bestFit="1" customWidth="1"/>
    <col min="8197" max="8197" width="12.28125" style="130" customWidth="1"/>
    <col min="8198" max="8202" width="11.421875" style="130" customWidth="1"/>
    <col min="8203" max="8204" width="10.57421875" style="130" bestFit="1" customWidth="1"/>
    <col min="8205" max="8206" width="11.421875" style="130" customWidth="1"/>
    <col min="8207" max="8207" width="6.140625" style="130" customWidth="1"/>
    <col min="8208" max="8448" width="11.421875" style="130" customWidth="1"/>
    <col min="8449" max="8449" width="5.28125" style="130" customWidth="1"/>
    <col min="8450" max="8450" width="15.28125" style="130" customWidth="1"/>
    <col min="8451" max="8451" width="14.421875" style="130" bestFit="1" customWidth="1"/>
    <col min="8452" max="8452" width="10.421875" style="130" bestFit="1" customWidth="1"/>
    <col min="8453" max="8453" width="12.28125" style="130" customWidth="1"/>
    <col min="8454" max="8458" width="11.421875" style="130" customWidth="1"/>
    <col min="8459" max="8460" width="10.57421875" style="130" bestFit="1" customWidth="1"/>
    <col min="8461" max="8462" width="11.421875" style="130" customWidth="1"/>
    <col min="8463" max="8463" width="6.140625" style="130" customWidth="1"/>
    <col min="8464" max="8704" width="11.421875" style="130" customWidth="1"/>
    <col min="8705" max="8705" width="5.28125" style="130" customWidth="1"/>
    <col min="8706" max="8706" width="15.28125" style="130" customWidth="1"/>
    <col min="8707" max="8707" width="14.421875" style="130" bestFit="1" customWidth="1"/>
    <col min="8708" max="8708" width="10.421875" style="130" bestFit="1" customWidth="1"/>
    <col min="8709" max="8709" width="12.28125" style="130" customWidth="1"/>
    <col min="8710" max="8714" width="11.421875" style="130" customWidth="1"/>
    <col min="8715" max="8716" width="10.57421875" style="130" bestFit="1" customWidth="1"/>
    <col min="8717" max="8718" width="11.421875" style="130" customWidth="1"/>
    <col min="8719" max="8719" width="6.140625" style="130" customWidth="1"/>
    <col min="8720" max="8960" width="11.421875" style="130" customWidth="1"/>
    <col min="8961" max="8961" width="5.28125" style="130" customWidth="1"/>
    <col min="8962" max="8962" width="15.28125" style="130" customWidth="1"/>
    <col min="8963" max="8963" width="14.421875" style="130" bestFit="1" customWidth="1"/>
    <col min="8964" max="8964" width="10.421875" style="130" bestFit="1" customWidth="1"/>
    <col min="8965" max="8965" width="12.28125" style="130" customWidth="1"/>
    <col min="8966" max="8970" width="11.421875" style="130" customWidth="1"/>
    <col min="8971" max="8972" width="10.57421875" style="130" bestFit="1" customWidth="1"/>
    <col min="8973" max="8974" width="11.421875" style="130" customWidth="1"/>
    <col min="8975" max="8975" width="6.140625" style="130" customWidth="1"/>
    <col min="8976" max="9216" width="11.421875" style="130" customWidth="1"/>
    <col min="9217" max="9217" width="5.28125" style="130" customWidth="1"/>
    <col min="9218" max="9218" width="15.28125" style="130" customWidth="1"/>
    <col min="9219" max="9219" width="14.421875" style="130" bestFit="1" customWidth="1"/>
    <col min="9220" max="9220" width="10.421875" style="130" bestFit="1" customWidth="1"/>
    <col min="9221" max="9221" width="12.28125" style="130" customWidth="1"/>
    <col min="9222" max="9226" width="11.421875" style="130" customWidth="1"/>
    <col min="9227" max="9228" width="10.57421875" style="130" bestFit="1" customWidth="1"/>
    <col min="9229" max="9230" width="11.421875" style="130" customWidth="1"/>
    <col min="9231" max="9231" width="6.140625" style="130" customWidth="1"/>
    <col min="9232" max="9472" width="11.421875" style="130" customWidth="1"/>
    <col min="9473" max="9473" width="5.28125" style="130" customWidth="1"/>
    <col min="9474" max="9474" width="15.28125" style="130" customWidth="1"/>
    <col min="9475" max="9475" width="14.421875" style="130" bestFit="1" customWidth="1"/>
    <col min="9476" max="9476" width="10.421875" style="130" bestFit="1" customWidth="1"/>
    <col min="9477" max="9477" width="12.28125" style="130" customWidth="1"/>
    <col min="9478" max="9482" width="11.421875" style="130" customWidth="1"/>
    <col min="9483" max="9484" width="10.57421875" style="130" bestFit="1" customWidth="1"/>
    <col min="9485" max="9486" width="11.421875" style="130" customWidth="1"/>
    <col min="9487" max="9487" width="6.140625" style="130" customWidth="1"/>
    <col min="9488" max="9728" width="11.421875" style="130" customWidth="1"/>
    <col min="9729" max="9729" width="5.28125" style="130" customWidth="1"/>
    <col min="9730" max="9730" width="15.28125" style="130" customWidth="1"/>
    <col min="9731" max="9731" width="14.421875" style="130" bestFit="1" customWidth="1"/>
    <col min="9732" max="9732" width="10.421875" style="130" bestFit="1" customWidth="1"/>
    <col min="9733" max="9733" width="12.28125" style="130" customWidth="1"/>
    <col min="9734" max="9738" width="11.421875" style="130" customWidth="1"/>
    <col min="9739" max="9740" width="10.57421875" style="130" bestFit="1" customWidth="1"/>
    <col min="9741" max="9742" width="11.421875" style="130" customWidth="1"/>
    <col min="9743" max="9743" width="6.140625" style="130" customWidth="1"/>
    <col min="9744" max="9984" width="11.421875" style="130" customWidth="1"/>
    <col min="9985" max="9985" width="5.28125" style="130" customWidth="1"/>
    <col min="9986" max="9986" width="15.28125" style="130" customWidth="1"/>
    <col min="9987" max="9987" width="14.421875" style="130" bestFit="1" customWidth="1"/>
    <col min="9988" max="9988" width="10.421875" style="130" bestFit="1" customWidth="1"/>
    <col min="9989" max="9989" width="12.28125" style="130" customWidth="1"/>
    <col min="9990" max="9994" width="11.421875" style="130" customWidth="1"/>
    <col min="9995" max="9996" width="10.57421875" style="130" bestFit="1" customWidth="1"/>
    <col min="9997" max="9998" width="11.421875" style="130" customWidth="1"/>
    <col min="9999" max="9999" width="6.140625" style="130" customWidth="1"/>
    <col min="10000" max="10240" width="11.421875" style="130" customWidth="1"/>
    <col min="10241" max="10241" width="5.28125" style="130" customWidth="1"/>
    <col min="10242" max="10242" width="15.28125" style="130" customWidth="1"/>
    <col min="10243" max="10243" width="14.421875" style="130" bestFit="1" customWidth="1"/>
    <col min="10244" max="10244" width="10.421875" style="130" bestFit="1" customWidth="1"/>
    <col min="10245" max="10245" width="12.28125" style="130" customWidth="1"/>
    <col min="10246" max="10250" width="11.421875" style="130" customWidth="1"/>
    <col min="10251" max="10252" width="10.57421875" style="130" bestFit="1" customWidth="1"/>
    <col min="10253" max="10254" width="11.421875" style="130" customWidth="1"/>
    <col min="10255" max="10255" width="6.140625" style="130" customWidth="1"/>
    <col min="10256" max="10496" width="11.421875" style="130" customWidth="1"/>
    <col min="10497" max="10497" width="5.28125" style="130" customWidth="1"/>
    <col min="10498" max="10498" width="15.28125" style="130" customWidth="1"/>
    <col min="10499" max="10499" width="14.421875" style="130" bestFit="1" customWidth="1"/>
    <col min="10500" max="10500" width="10.421875" style="130" bestFit="1" customWidth="1"/>
    <col min="10501" max="10501" width="12.28125" style="130" customWidth="1"/>
    <col min="10502" max="10506" width="11.421875" style="130" customWidth="1"/>
    <col min="10507" max="10508" width="10.57421875" style="130" bestFit="1" customWidth="1"/>
    <col min="10509" max="10510" width="11.421875" style="130" customWidth="1"/>
    <col min="10511" max="10511" width="6.140625" style="130" customWidth="1"/>
    <col min="10512" max="10752" width="11.421875" style="130" customWidth="1"/>
    <col min="10753" max="10753" width="5.28125" style="130" customWidth="1"/>
    <col min="10754" max="10754" width="15.28125" style="130" customWidth="1"/>
    <col min="10755" max="10755" width="14.421875" style="130" bestFit="1" customWidth="1"/>
    <col min="10756" max="10756" width="10.421875" style="130" bestFit="1" customWidth="1"/>
    <col min="10757" max="10757" width="12.28125" style="130" customWidth="1"/>
    <col min="10758" max="10762" width="11.421875" style="130" customWidth="1"/>
    <col min="10763" max="10764" width="10.57421875" style="130" bestFit="1" customWidth="1"/>
    <col min="10765" max="10766" width="11.421875" style="130" customWidth="1"/>
    <col min="10767" max="10767" width="6.140625" style="130" customWidth="1"/>
    <col min="10768" max="11008" width="11.421875" style="130" customWidth="1"/>
    <col min="11009" max="11009" width="5.28125" style="130" customWidth="1"/>
    <col min="11010" max="11010" width="15.28125" style="130" customWidth="1"/>
    <col min="11011" max="11011" width="14.421875" style="130" bestFit="1" customWidth="1"/>
    <col min="11012" max="11012" width="10.421875" style="130" bestFit="1" customWidth="1"/>
    <col min="11013" max="11013" width="12.28125" style="130" customWidth="1"/>
    <col min="11014" max="11018" width="11.421875" style="130" customWidth="1"/>
    <col min="11019" max="11020" width="10.57421875" style="130" bestFit="1" customWidth="1"/>
    <col min="11021" max="11022" width="11.421875" style="130" customWidth="1"/>
    <col min="11023" max="11023" width="6.140625" style="130" customWidth="1"/>
    <col min="11024" max="11264" width="11.421875" style="130" customWidth="1"/>
    <col min="11265" max="11265" width="5.28125" style="130" customWidth="1"/>
    <col min="11266" max="11266" width="15.28125" style="130" customWidth="1"/>
    <col min="11267" max="11267" width="14.421875" style="130" bestFit="1" customWidth="1"/>
    <col min="11268" max="11268" width="10.421875" style="130" bestFit="1" customWidth="1"/>
    <col min="11269" max="11269" width="12.28125" style="130" customWidth="1"/>
    <col min="11270" max="11274" width="11.421875" style="130" customWidth="1"/>
    <col min="11275" max="11276" width="10.57421875" style="130" bestFit="1" customWidth="1"/>
    <col min="11277" max="11278" width="11.421875" style="130" customWidth="1"/>
    <col min="11279" max="11279" width="6.140625" style="130" customWidth="1"/>
    <col min="11280" max="11520" width="11.421875" style="130" customWidth="1"/>
    <col min="11521" max="11521" width="5.28125" style="130" customWidth="1"/>
    <col min="11522" max="11522" width="15.28125" style="130" customWidth="1"/>
    <col min="11523" max="11523" width="14.421875" style="130" bestFit="1" customWidth="1"/>
    <col min="11524" max="11524" width="10.421875" style="130" bestFit="1" customWidth="1"/>
    <col min="11525" max="11525" width="12.28125" style="130" customWidth="1"/>
    <col min="11526" max="11530" width="11.421875" style="130" customWidth="1"/>
    <col min="11531" max="11532" width="10.57421875" style="130" bestFit="1" customWidth="1"/>
    <col min="11533" max="11534" width="11.421875" style="130" customWidth="1"/>
    <col min="11535" max="11535" width="6.140625" style="130" customWidth="1"/>
    <col min="11536" max="11776" width="11.421875" style="130" customWidth="1"/>
    <col min="11777" max="11777" width="5.28125" style="130" customWidth="1"/>
    <col min="11778" max="11778" width="15.28125" style="130" customWidth="1"/>
    <col min="11779" max="11779" width="14.421875" style="130" bestFit="1" customWidth="1"/>
    <col min="11780" max="11780" width="10.421875" style="130" bestFit="1" customWidth="1"/>
    <col min="11781" max="11781" width="12.28125" style="130" customWidth="1"/>
    <col min="11782" max="11786" width="11.421875" style="130" customWidth="1"/>
    <col min="11787" max="11788" width="10.57421875" style="130" bestFit="1" customWidth="1"/>
    <col min="11789" max="11790" width="11.421875" style="130" customWidth="1"/>
    <col min="11791" max="11791" width="6.140625" style="130" customWidth="1"/>
    <col min="11792" max="12032" width="11.421875" style="130" customWidth="1"/>
    <col min="12033" max="12033" width="5.28125" style="130" customWidth="1"/>
    <col min="12034" max="12034" width="15.28125" style="130" customWidth="1"/>
    <col min="12035" max="12035" width="14.421875" style="130" bestFit="1" customWidth="1"/>
    <col min="12036" max="12036" width="10.421875" style="130" bestFit="1" customWidth="1"/>
    <col min="12037" max="12037" width="12.28125" style="130" customWidth="1"/>
    <col min="12038" max="12042" width="11.421875" style="130" customWidth="1"/>
    <col min="12043" max="12044" width="10.57421875" style="130" bestFit="1" customWidth="1"/>
    <col min="12045" max="12046" width="11.421875" style="130" customWidth="1"/>
    <col min="12047" max="12047" width="6.140625" style="130" customWidth="1"/>
    <col min="12048" max="12288" width="11.421875" style="130" customWidth="1"/>
    <col min="12289" max="12289" width="5.28125" style="130" customWidth="1"/>
    <col min="12290" max="12290" width="15.28125" style="130" customWidth="1"/>
    <col min="12291" max="12291" width="14.421875" style="130" bestFit="1" customWidth="1"/>
    <col min="12292" max="12292" width="10.421875" style="130" bestFit="1" customWidth="1"/>
    <col min="12293" max="12293" width="12.28125" style="130" customWidth="1"/>
    <col min="12294" max="12298" width="11.421875" style="130" customWidth="1"/>
    <col min="12299" max="12300" width="10.57421875" style="130" bestFit="1" customWidth="1"/>
    <col min="12301" max="12302" width="11.421875" style="130" customWidth="1"/>
    <col min="12303" max="12303" width="6.140625" style="130" customWidth="1"/>
    <col min="12304" max="12544" width="11.421875" style="130" customWidth="1"/>
    <col min="12545" max="12545" width="5.28125" style="130" customWidth="1"/>
    <col min="12546" max="12546" width="15.28125" style="130" customWidth="1"/>
    <col min="12547" max="12547" width="14.421875" style="130" bestFit="1" customWidth="1"/>
    <col min="12548" max="12548" width="10.421875" style="130" bestFit="1" customWidth="1"/>
    <col min="12549" max="12549" width="12.28125" style="130" customWidth="1"/>
    <col min="12550" max="12554" width="11.421875" style="130" customWidth="1"/>
    <col min="12555" max="12556" width="10.57421875" style="130" bestFit="1" customWidth="1"/>
    <col min="12557" max="12558" width="11.421875" style="130" customWidth="1"/>
    <col min="12559" max="12559" width="6.140625" style="130" customWidth="1"/>
    <col min="12560" max="12800" width="11.421875" style="130" customWidth="1"/>
    <col min="12801" max="12801" width="5.28125" style="130" customWidth="1"/>
    <col min="12802" max="12802" width="15.28125" style="130" customWidth="1"/>
    <col min="12803" max="12803" width="14.421875" style="130" bestFit="1" customWidth="1"/>
    <col min="12804" max="12804" width="10.421875" style="130" bestFit="1" customWidth="1"/>
    <col min="12805" max="12805" width="12.28125" style="130" customWidth="1"/>
    <col min="12806" max="12810" width="11.421875" style="130" customWidth="1"/>
    <col min="12811" max="12812" width="10.57421875" style="130" bestFit="1" customWidth="1"/>
    <col min="12813" max="12814" width="11.421875" style="130" customWidth="1"/>
    <col min="12815" max="12815" width="6.140625" style="130" customWidth="1"/>
    <col min="12816" max="13056" width="11.421875" style="130" customWidth="1"/>
    <col min="13057" max="13057" width="5.28125" style="130" customWidth="1"/>
    <col min="13058" max="13058" width="15.28125" style="130" customWidth="1"/>
    <col min="13059" max="13059" width="14.421875" style="130" bestFit="1" customWidth="1"/>
    <col min="13060" max="13060" width="10.421875" style="130" bestFit="1" customWidth="1"/>
    <col min="13061" max="13061" width="12.28125" style="130" customWidth="1"/>
    <col min="13062" max="13066" width="11.421875" style="130" customWidth="1"/>
    <col min="13067" max="13068" width="10.57421875" style="130" bestFit="1" customWidth="1"/>
    <col min="13069" max="13070" width="11.421875" style="130" customWidth="1"/>
    <col min="13071" max="13071" width="6.140625" style="130" customWidth="1"/>
    <col min="13072" max="13312" width="11.421875" style="130" customWidth="1"/>
    <col min="13313" max="13313" width="5.28125" style="130" customWidth="1"/>
    <col min="13314" max="13314" width="15.28125" style="130" customWidth="1"/>
    <col min="13315" max="13315" width="14.421875" style="130" bestFit="1" customWidth="1"/>
    <col min="13316" max="13316" width="10.421875" style="130" bestFit="1" customWidth="1"/>
    <col min="13317" max="13317" width="12.28125" style="130" customWidth="1"/>
    <col min="13318" max="13322" width="11.421875" style="130" customWidth="1"/>
    <col min="13323" max="13324" width="10.57421875" style="130" bestFit="1" customWidth="1"/>
    <col min="13325" max="13326" width="11.421875" style="130" customWidth="1"/>
    <col min="13327" max="13327" width="6.140625" style="130" customWidth="1"/>
    <col min="13328" max="13568" width="11.421875" style="130" customWidth="1"/>
    <col min="13569" max="13569" width="5.28125" style="130" customWidth="1"/>
    <col min="13570" max="13570" width="15.28125" style="130" customWidth="1"/>
    <col min="13571" max="13571" width="14.421875" style="130" bestFit="1" customWidth="1"/>
    <col min="13572" max="13572" width="10.421875" style="130" bestFit="1" customWidth="1"/>
    <col min="13573" max="13573" width="12.28125" style="130" customWidth="1"/>
    <col min="13574" max="13578" width="11.421875" style="130" customWidth="1"/>
    <col min="13579" max="13580" width="10.57421875" style="130" bestFit="1" customWidth="1"/>
    <col min="13581" max="13582" width="11.421875" style="130" customWidth="1"/>
    <col min="13583" max="13583" width="6.140625" style="130" customWidth="1"/>
    <col min="13584" max="13824" width="11.421875" style="130" customWidth="1"/>
    <col min="13825" max="13825" width="5.28125" style="130" customWidth="1"/>
    <col min="13826" max="13826" width="15.28125" style="130" customWidth="1"/>
    <col min="13827" max="13827" width="14.421875" style="130" bestFit="1" customWidth="1"/>
    <col min="13828" max="13828" width="10.421875" style="130" bestFit="1" customWidth="1"/>
    <col min="13829" max="13829" width="12.28125" style="130" customWidth="1"/>
    <col min="13830" max="13834" width="11.421875" style="130" customWidth="1"/>
    <col min="13835" max="13836" width="10.57421875" style="130" bestFit="1" customWidth="1"/>
    <col min="13837" max="13838" width="11.421875" style="130" customWidth="1"/>
    <col min="13839" max="13839" width="6.140625" style="130" customWidth="1"/>
    <col min="13840" max="14080" width="11.421875" style="130" customWidth="1"/>
    <col min="14081" max="14081" width="5.28125" style="130" customWidth="1"/>
    <col min="14082" max="14082" width="15.28125" style="130" customWidth="1"/>
    <col min="14083" max="14083" width="14.421875" style="130" bestFit="1" customWidth="1"/>
    <col min="14084" max="14084" width="10.421875" style="130" bestFit="1" customWidth="1"/>
    <col min="14085" max="14085" width="12.28125" style="130" customWidth="1"/>
    <col min="14086" max="14090" width="11.421875" style="130" customWidth="1"/>
    <col min="14091" max="14092" width="10.57421875" style="130" bestFit="1" customWidth="1"/>
    <col min="14093" max="14094" width="11.421875" style="130" customWidth="1"/>
    <col min="14095" max="14095" width="6.140625" style="130" customWidth="1"/>
    <col min="14096" max="14336" width="11.421875" style="130" customWidth="1"/>
    <col min="14337" max="14337" width="5.28125" style="130" customWidth="1"/>
    <col min="14338" max="14338" width="15.28125" style="130" customWidth="1"/>
    <col min="14339" max="14339" width="14.421875" style="130" bestFit="1" customWidth="1"/>
    <col min="14340" max="14340" width="10.421875" style="130" bestFit="1" customWidth="1"/>
    <col min="14341" max="14341" width="12.28125" style="130" customWidth="1"/>
    <col min="14342" max="14346" width="11.421875" style="130" customWidth="1"/>
    <col min="14347" max="14348" width="10.57421875" style="130" bestFit="1" customWidth="1"/>
    <col min="14349" max="14350" width="11.421875" style="130" customWidth="1"/>
    <col min="14351" max="14351" width="6.140625" style="130" customWidth="1"/>
    <col min="14352" max="14592" width="11.421875" style="130" customWidth="1"/>
    <col min="14593" max="14593" width="5.28125" style="130" customWidth="1"/>
    <col min="14594" max="14594" width="15.28125" style="130" customWidth="1"/>
    <col min="14595" max="14595" width="14.421875" style="130" bestFit="1" customWidth="1"/>
    <col min="14596" max="14596" width="10.421875" style="130" bestFit="1" customWidth="1"/>
    <col min="14597" max="14597" width="12.28125" style="130" customWidth="1"/>
    <col min="14598" max="14602" width="11.421875" style="130" customWidth="1"/>
    <col min="14603" max="14604" width="10.57421875" style="130" bestFit="1" customWidth="1"/>
    <col min="14605" max="14606" width="11.421875" style="130" customWidth="1"/>
    <col min="14607" max="14607" width="6.140625" style="130" customWidth="1"/>
    <col min="14608" max="14848" width="11.421875" style="130" customWidth="1"/>
    <col min="14849" max="14849" width="5.28125" style="130" customWidth="1"/>
    <col min="14850" max="14850" width="15.28125" style="130" customWidth="1"/>
    <col min="14851" max="14851" width="14.421875" style="130" bestFit="1" customWidth="1"/>
    <col min="14852" max="14852" width="10.421875" style="130" bestFit="1" customWidth="1"/>
    <col min="14853" max="14853" width="12.28125" style="130" customWidth="1"/>
    <col min="14854" max="14858" width="11.421875" style="130" customWidth="1"/>
    <col min="14859" max="14860" width="10.57421875" style="130" bestFit="1" customWidth="1"/>
    <col min="14861" max="14862" width="11.421875" style="130" customWidth="1"/>
    <col min="14863" max="14863" width="6.140625" style="130" customWidth="1"/>
    <col min="14864" max="15104" width="11.421875" style="130" customWidth="1"/>
    <col min="15105" max="15105" width="5.28125" style="130" customWidth="1"/>
    <col min="15106" max="15106" width="15.28125" style="130" customWidth="1"/>
    <col min="15107" max="15107" width="14.421875" style="130" bestFit="1" customWidth="1"/>
    <col min="15108" max="15108" width="10.421875" style="130" bestFit="1" customWidth="1"/>
    <col min="15109" max="15109" width="12.28125" style="130" customWidth="1"/>
    <col min="15110" max="15114" width="11.421875" style="130" customWidth="1"/>
    <col min="15115" max="15116" width="10.57421875" style="130" bestFit="1" customWidth="1"/>
    <col min="15117" max="15118" width="11.421875" style="130" customWidth="1"/>
    <col min="15119" max="15119" width="6.140625" style="130" customWidth="1"/>
    <col min="15120" max="15360" width="11.421875" style="130" customWidth="1"/>
    <col min="15361" max="15361" width="5.28125" style="130" customWidth="1"/>
    <col min="15362" max="15362" width="15.28125" style="130" customWidth="1"/>
    <col min="15363" max="15363" width="14.421875" style="130" bestFit="1" customWidth="1"/>
    <col min="15364" max="15364" width="10.421875" style="130" bestFit="1" customWidth="1"/>
    <col min="15365" max="15365" width="12.28125" style="130" customWidth="1"/>
    <col min="15366" max="15370" width="11.421875" style="130" customWidth="1"/>
    <col min="15371" max="15372" width="10.57421875" style="130" bestFit="1" customWidth="1"/>
    <col min="15373" max="15374" width="11.421875" style="130" customWidth="1"/>
    <col min="15375" max="15375" width="6.140625" style="130" customWidth="1"/>
    <col min="15376" max="15616" width="11.421875" style="130" customWidth="1"/>
    <col min="15617" max="15617" width="5.28125" style="130" customWidth="1"/>
    <col min="15618" max="15618" width="15.28125" style="130" customWidth="1"/>
    <col min="15619" max="15619" width="14.421875" style="130" bestFit="1" customWidth="1"/>
    <col min="15620" max="15620" width="10.421875" style="130" bestFit="1" customWidth="1"/>
    <col min="15621" max="15621" width="12.28125" style="130" customWidth="1"/>
    <col min="15622" max="15626" width="11.421875" style="130" customWidth="1"/>
    <col min="15627" max="15628" width="10.57421875" style="130" bestFit="1" customWidth="1"/>
    <col min="15629" max="15630" width="11.421875" style="130" customWidth="1"/>
    <col min="15631" max="15631" width="6.140625" style="130" customWidth="1"/>
    <col min="15632" max="15872" width="11.421875" style="130" customWidth="1"/>
    <col min="15873" max="15873" width="5.28125" style="130" customWidth="1"/>
    <col min="15874" max="15874" width="15.28125" style="130" customWidth="1"/>
    <col min="15875" max="15875" width="14.421875" style="130" bestFit="1" customWidth="1"/>
    <col min="15876" max="15876" width="10.421875" style="130" bestFit="1" customWidth="1"/>
    <col min="15877" max="15877" width="12.28125" style="130" customWidth="1"/>
    <col min="15878" max="15882" width="11.421875" style="130" customWidth="1"/>
    <col min="15883" max="15884" width="10.57421875" style="130" bestFit="1" customWidth="1"/>
    <col min="15885" max="15886" width="11.421875" style="130" customWidth="1"/>
    <col min="15887" max="15887" width="6.140625" style="130" customWidth="1"/>
    <col min="15888" max="16128" width="11.421875" style="130" customWidth="1"/>
    <col min="16129" max="16129" width="5.28125" style="130" customWidth="1"/>
    <col min="16130" max="16130" width="15.28125" style="130" customWidth="1"/>
    <col min="16131" max="16131" width="14.421875" style="130" bestFit="1" customWidth="1"/>
    <col min="16132" max="16132" width="10.421875" style="130" bestFit="1" customWidth="1"/>
    <col min="16133" max="16133" width="12.28125" style="130" customWidth="1"/>
    <col min="16134" max="16138" width="11.421875" style="130" customWidth="1"/>
    <col min="16139" max="16140" width="10.57421875" style="130" bestFit="1" customWidth="1"/>
    <col min="16141" max="16142" width="11.421875" style="130" customWidth="1"/>
    <col min="16143" max="16143" width="6.140625" style="130" customWidth="1"/>
    <col min="16144" max="16154" width="11.421875" style="130" customWidth="1"/>
    <col min="16155" max="16384" width="11.421875" style="130" customWidth="1"/>
  </cols>
  <sheetData>
    <row r="1" spans="1:59" s="2" customFormat="1" ht="36">
      <c r="A1" s="282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133"/>
      <c r="P1" s="263">
        <v>1</v>
      </c>
      <c r="Q1" s="132"/>
      <c r="R1" s="132"/>
      <c r="S1" s="132"/>
      <c r="T1" s="132"/>
      <c r="U1" s="132"/>
      <c r="BF1" s="283"/>
      <c r="BG1" s="283"/>
    </row>
    <row r="2" spans="1:59" s="2" customFormat="1" ht="36">
      <c r="A2" s="282" t="s">
        <v>989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133"/>
      <c r="P2" s="296"/>
      <c r="Q2" s="132"/>
      <c r="R2" s="132"/>
      <c r="S2" s="132"/>
      <c r="T2" s="132"/>
      <c r="U2" s="132"/>
      <c r="BF2" s="283"/>
      <c r="BG2" s="283"/>
    </row>
    <row r="3" spans="1:59" s="39" customFormat="1" ht="18" customHeight="1">
      <c r="A3" s="328" t="str">
        <f>Report_Date</f>
        <v>Juin 2013</v>
      </c>
      <c r="B3" s="328"/>
      <c r="C3" s="328"/>
      <c r="D3" s="182"/>
      <c r="E3" s="182"/>
      <c r="F3" s="182"/>
      <c r="G3" s="182"/>
      <c r="H3" s="182"/>
      <c r="I3" s="182"/>
      <c r="J3" s="182"/>
      <c r="L3" s="182"/>
      <c r="M3" s="182"/>
      <c r="N3" s="182"/>
      <c r="O3" s="182"/>
      <c r="P3" s="182"/>
      <c r="Q3" s="182"/>
      <c r="R3" s="182"/>
      <c r="S3" s="284"/>
      <c r="T3" s="182"/>
      <c r="U3" s="182"/>
      <c r="BF3" s="284"/>
      <c r="BG3" s="284"/>
    </row>
    <row r="4" spans="2:16" ht="36.75" thickBot="1">
      <c r="B4" s="271" t="s">
        <v>434</v>
      </c>
      <c r="C4" s="270">
        <f>NFIAnalysis!B18</f>
        <v>24119</v>
      </c>
      <c r="D4" s="134"/>
      <c r="E4" s="11"/>
      <c r="F4" s="11"/>
      <c r="G4" s="11"/>
      <c r="H4" s="11"/>
      <c r="I4" s="11"/>
      <c r="J4" s="11"/>
      <c r="K4" s="11"/>
      <c r="L4" s="11"/>
      <c r="M4" s="11"/>
      <c r="N4" s="11"/>
      <c r="O4" s="133"/>
      <c r="P4" s="132">
        <v>0</v>
      </c>
    </row>
    <row r="5" spans="2:16" ht="30.75" thickBot="1">
      <c r="B5" s="135" t="s">
        <v>1260</v>
      </c>
      <c r="C5" s="135" t="s">
        <v>978</v>
      </c>
      <c r="D5" s="136" t="s">
        <v>979</v>
      </c>
      <c r="E5" s="137" t="s">
        <v>980</v>
      </c>
      <c r="F5" s="137" t="s">
        <v>980</v>
      </c>
      <c r="G5" s="138" t="s">
        <v>981</v>
      </c>
      <c r="H5" s="138" t="s">
        <v>981</v>
      </c>
      <c r="I5" s="139" t="s">
        <v>982</v>
      </c>
      <c r="J5" s="140" t="s">
        <v>982</v>
      </c>
      <c r="K5" s="149" t="s">
        <v>805</v>
      </c>
      <c r="L5" s="149" t="s">
        <v>805</v>
      </c>
      <c r="M5" s="141" t="s">
        <v>983</v>
      </c>
      <c r="N5" s="141" t="s">
        <v>983</v>
      </c>
      <c r="P5" s="142">
        <v>1</v>
      </c>
    </row>
    <row r="6" spans="2:16" ht="15.75" thickBot="1">
      <c r="B6" s="143" t="s">
        <v>984</v>
      </c>
      <c r="C6" s="144">
        <f aca="true" t="shared" si="0" ref="C6:C8">VLOOKUP($B6,NFI,6,0)</f>
        <v>1</v>
      </c>
      <c r="D6" s="145">
        <f>$C$4*C6</f>
        <v>24119</v>
      </c>
      <c r="E6" s="146">
        <f ca="1">SUMIFS(INDIRECT(VLOOKUP($B6,NFI,2,0)),NFI_State,$B$4)</f>
        <v>0</v>
      </c>
      <c r="F6" s="147">
        <f ca="1">IF((E6/D6)&gt;100%,100%,(E6/D6))</f>
        <v>0</v>
      </c>
      <c r="G6" s="146">
        <f aca="true" t="shared" si="1" ref="G6:G8">SUMIFS(INDIRECT(VLOOKUP($B6,NFI,3,0)),NFI_Pipeline_State,$B$4)</f>
        <v>0</v>
      </c>
      <c r="H6" s="148">
        <f ca="1">G6/D6</f>
        <v>0</v>
      </c>
      <c r="I6" s="146">
        <f ca="1">IF((D6-(SUM(E6:G6)))&lt;0,0,(D6-(SUM(E6:G6))))</f>
        <v>24119</v>
      </c>
      <c r="J6" s="176">
        <f ca="1">I6/D6</f>
        <v>1</v>
      </c>
      <c r="K6" s="146">
        <f aca="true" t="shared" si="2" ref="K6:K8">SUMIFS(INDIRECT(VLOOKUP($B6,NFI,4,0)),NFI_Pipeline_State,$B$4)</f>
        <v>21300</v>
      </c>
      <c r="L6" s="149">
        <f ca="1">K6/D6</f>
        <v>0.8831211907624694</v>
      </c>
      <c r="M6" s="150">
        <f ca="1">IF((D6-(E6+G6+K6))&lt;0,0,(D6-(E6+G6+K6)))</f>
        <v>2819</v>
      </c>
      <c r="N6" s="151">
        <f ca="1">M6/D6</f>
        <v>0.11687880923753058</v>
      </c>
      <c r="P6" s="142">
        <v>1</v>
      </c>
    </row>
    <row r="7" spans="2:16" ht="15.75" thickBot="1">
      <c r="B7" s="152" t="s">
        <v>799</v>
      </c>
      <c r="C7" s="144">
        <f t="shared" si="0"/>
        <v>1</v>
      </c>
      <c r="D7" s="145">
        <f aca="true" t="shared" si="3" ref="D7:D8">$C$4*C7</f>
        <v>24119</v>
      </c>
      <c r="E7" s="146">
        <f aca="true" t="shared" si="4" ref="E7:E8">SUMIFS(INDIRECT(VLOOKUP($B7,NFI,2,0)),NFI_State,$B$4)</f>
        <v>0</v>
      </c>
      <c r="F7" s="147">
        <f aca="true" t="shared" si="5" ref="F7">IF((E7/D7)&gt;100%,100%,(E7/D7))</f>
        <v>0</v>
      </c>
      <c r="G7" s="146">
        <f ca="1" t="shared" si="1"/>
        <v>1839</v>
      </c>
      <c r="H7" s="148">
        <f aca="true" t="shared" si="6" ref="H7:H8">G7/D7</f>
        <v>0.07624694224470334</v>
      </c>
      <c r="I7" s="146">
        <f aca="true" t="shared" si="7" ref="I7:I8">IF((D7-(SUM(E7:G7)))&lt;0,0,(D7-(SUM(E7:G7))))</f>
        <v>22280</v>
      </c>
      <c r="J7" s="176">
        <f aca="true" t="shared" si="8" ref="J7:J8">I7/D7</f>
        <v>0.9237530577552967</v>
      </c>
      <c r="K7" s="146">
        <f ca="1" t="shared" si="2"/>
        <v>4940</v>
      </c>
      <c r="L7" s="149">
        <f aca="true" t="shared" si="9" ref="L7:L8">K7/D7</f>
        <v>0.2048177785148638</v>
      </c>
      <c r="M7" s="150">
        <f aca="true" t="shared" si="10" ref="M7:M8">IF((D7-(E7+G7+K7))&lt;0,0,(D7-(E7+G7+K7)))</f>
        <v>17340</v>
      </c>
      <c r="N7" s="151">
        <f aca="true" t="shared" si="11" ref="N7:N8">M7/D7</f>
        <v>0.7189352792404329</v>
      </c>
      <c r="P7" s="142">
        <v>1</v>
      </c>
    </row>
    <row r="8" spans="2:16" ht="15">
      <c r="B8" s="152" t="s">
        <v>985</v>
      </c>
      <c r="C8" s="144">
        <f t="shared" si="0"/>
        <v>1</v>
      </c>
      <c r="D8" s="145">
        <f t="shared" si="3"/>
        <v>24119</v>
      </c>
      <c r="E8" s="146">
        <f ca="1" t="shared" si="4"/>
        <v>0</v>
      </c>
      <c r="F8" s="147">
        <f ca="1">IF((E8/D8)&gt;100%,100%,(E8/D8))</f>
        <v>0</v>
      </c>
      <c r="G8" s="146">
        <f ca="1" t="shared" si="1"/>
        <v>0</v>
      </c>
      <c r="H8" s="148">
        <f ca="1" t="shared" si="6"/>
        <v>0</v>
      </c>
      <c r="I8" s="146">
        <f ca="1" t="shared" si="7"/>
        <v>24119</v>
      </c>
      <c r="J8" s="176">
        <f ca="1" t="shared" si="8"/>
        <v>1</v>
      </c>
      <c r="K8" s="146">
        <f ca="1" t="shared" si="2"/>
        <v>0</v>
      </c>
      <c r="L8" s="149">
        <f ca="1" t="shared" si="9"/>
        <v>0</v>
      </c>
      <c r="M8" s="150">
        <f ca="1" t="shared" si="10"/>
        <v>24119</v>
      </c>
      <c r="N8" s="151">
        <f ca="1" t="shared" si="11"/>
        <v>1</v>
      </c>
      <c r="P8" s="142">
        <v>1</v>
      </c>
    </row>
    <row r="9" ht="15">
      <c r="P9" s="142">
        <v>1</v>
      </c>
    </row>
    <row r="10" ht="15.75" thickBot="1">
      <c r="P10" s="142">
        <v>1</v>
      </c>
    </row>
    <row r="11" spans="2:16" ht="30.75" thickBot="1">
      <c r="B11" s="135" t="s">
        <v>1261</v>
      </c>
      <c r="C11" s="135" t="s">
        <v>978</v>
      </c>
      <c r="D11" s="136" t="s">
        <v>979</v>
      </c>
      <c r="E11" s="137" t="s">
        <v>980</v>
      </c>
      <c r="F11" s="137" t="s">
        <v>980</v>
      </c>
      <c r="G11" s="138" t="s">
        <v>981</v>
      </c>
      <c r="H11" s="138" t="s">
        <v>981</v>
      </c>
      <c r="I11" s="139" t="s">
        <v>982</v>
      </c>
      <c r="J11" s="140" t="s">
        <v>982</v>
      </c>
      <c r="K11" s="149" t="s">
        <v>805</v>
      </c>
      <c r="L11" s="149" t="s">
        <v>805</v>
      </c>
      <c r="M11" s="141" t="s">
        <v>983</v>
      </c>
      <c r="N11" s="141" t="s">
        <v>983</v>
      </c>
      <c r="P11" s="142">
        <v>1</v>
      </c>
    </row>
    <row r="12" spans="2:16" ht="15.75" thickBot="1">
      <c r="B12" s="152" t="s">
        <v>986</v>
      </c>
      <c r="C12" s="144">
        <f>VLOOKUP($B12,NFI,6,0)</f>
        <v>2</v>
      </c>
      <c r="D12" s="145">
        <f>$C$4*C12</f>
        <v>48238</v>
      </c>
      <c r="E12" s="146">
        <f ca="1">SUMIFS(INDIRECT(VLOOKUP($B12,NFI,2,0)),NFI_State,$B$4)+C12*E$7</f>
        <v>0</v>
      </c>
      <c r="F12" s="147">
        <f ca="1">IF((E12/D12)&gt;100%,100%,(E12/D12))</f>
        <v>0</v>
      </c>
      <c r="G12" s="146">
        <f ca="1">SUMIFS(INDIRECT(VLOOKUP($B12,NFI,3,0)),NFI_Pipeline_State,$B$4)+C12*G$7</f>
        <v>3678</v>
      </c>
      <c r="H12" s="148">
        <f ca="1">G12/D12</f>
        <v>0.07624694224470334</v>
      </c>
      <c r="I12" s="146">
        <f ca="1">IF((D12-(SUM(E12:G12)))&lt;0,0,(D12-(SUM(E12:G12))))</f>
        <v>44560</v>
      </c>
      <c r="J12" s="176">
        <f ca="1">I12/D12</f>
        <v>0.9237530577552967</v>
      </c>
      <c r="K12" s="146">
        <f ca="1">SUMIFS(INDIRECT(VLOOKUP($B12,NFI,4,0)),NFI_Pipeline_State,$B$4)++C12*K$7</f>
        <v>9880</v>
      </c>
      <c r="L12" s="149">
        <f ca="1">K12/D12</f>
        <v>0.2048177785148638</v>
      </c>
      <c r="M12" s="150">
        <f ca="1">IF((D12-(E12+G12+K12))&lt;0,0,(D12-(E12+G12+K12)))</f>
        <v>34680</v>
      </c>
      <c r="N12" s="151">
        <f ca="1">M12/D12</f>
        <v>0.7189352792404329</v>
      </c>
      <c r="P12" s="142">
        <v>1</v>
      </c>
    </row>
    <row r="13" spans="2:16" ht="15.75" thickBot="1">
      <c r="B13" s="152" t="s">
        <v>987</v>
      </c>
      <c r="C13" s="144">
        <f>VLOOKUP($B13,NFI,6,0)</f>
        <v>1</v>
      </c>
      <c r="D13" s="145">
        <f>$C$4*C13</f>
        <v>24119</v>
      </c>
      <c r="E13" s="146">
        <f ca="1">SUMIFS(INDIRECT(VLOOKUP($B13,NFI,2,0)),NFI_State,$B$4)+C13*E$7</f>
        <v>0</v>
      </c>
      <c r="F13" s="147">
        <f ca="1">IF((E13/D13)&gt;100%,100%,(E13/D13))</f>
        <v>0</v>
      </c>
      <c r="G13" s="146">
        <f ca="1">SUMIFS(INDIRECT(VLOOKUP($B13,NFI,3,0)),NFI_Pipeline_State,$B$4)+C13*G$7</f>
        <v>1839</v>
      </c>
      <c r="H13" s="148">
        <f ca="1">G13/D13</f>
        <v>0.07624694224470334</v>
      </c>
      <c r="I13" s="146">
        <f ca="1">IF((D13-(SUM(E13:G13)))&lt;0,0,(D13-(SUM(E13:G13))))</f>
        <v>22280</v>
      </c>
      <c r="J13" s="176">
        <f ca="1">I13/D13</f>
        <v>0.9237530577552967</v>
      </c>
      <c r="K13" s="146">
        <f ca="1">SUMIFS(INDIRECT(VLOOKUP($B13,NFI,4,0)),NFI_Pipeline_State,$B$4)++C13*K$7</f>
        <v>4940</v>
      </c>
      <c r="L13" s="149">
        <f ca="1">K13/D13</f>
        <v>0.2048177785148638</v>
      </c>
      <c r="M13" s="150">
        <f aca="true" t="shared" si="12" ref="M13:M16">IF((D13-(E13+G13+K13))&lt;0,0,(D13-(E13+G13+K13)))</f>
        <v>17340</v>
      </c>
      <c r="N13" s="151">
        <f aca="true" t="shared" si="13" ref="N13:N16">M13/D13</f>
        <v>0.7189352792404329</v>
      </c>
      <c r="P13" s="142">
        <v>1</v>
      </c>
    </row>
    <row r="14" spans="2:14" ht="15.75" thickBot="1">
      <c r="B14" s="152" t="s">
        <v>831</v>
      </c>
      <c r="C14" s="144">
        <f>VLOOKUP($B14,NFI,6,0)</f>
        <v>1</v>
      </c>
      <c r="D14" s="145">
        <f>$C$4*C14</f>
        <v>24119</v>
      </c>
      <c r="E14" s="146">
        <f ca="1">SUMIFS(INDIRECT(VLOOKUP($B14,NFI,2,0)),NFI_State,$B$4)+C14*E$7</f>
        <v>0</v>
      </c>
      <c r="F14" s="147">
        <f ca="1">IF((E14/D14)&gt;100%,100%,(E14/D14))</f>
        <v>0</v>
      </c>
      <c r="G14" s="146">
        <f ca="1">SUMIFS(INDIRECT(VLOOKUP($B14,NFI,3,0)),NFI_Pipeline_State,$B$4)+C14*G$7</f>
        <v>1839</v>
      </c>
      <c r="H14" s="148">
        <f ca="1">G14/D14</f>
        <v>0.07624694224470334</v>
      </c>
      <c r="I14" s="146">
        <f ca="1">IF((D14-(SUM(E14:G14)))&lt;0,0,(D14-(SUM(E14:G14))))</f>
        <v>22280</v>
      </c>
      <c r="J14" s="176">
        <f ca="1">I14/D14</f>
        <v>0.9237530577552967</v>
      </c>
      <c r="K14" s="146">
        <f ca="1">SUMIFS(INDIRECT(VLOOKUP($B14,NFI,4,0)),NFI_Pipeline_State,$B$4)++C14*K$7</f>
        <v>4940</v>
      </c>
      <c r="L14" s="149">
        <f ca="1">K14/D14</f>
        <v>0.2048177785148638</v>
      </c>
      <c r="M14" s="150">
        <f ca="1" t="shared" si="12"/>
        <v>17340</v>
      </c>
      <c r="N14" s="151">
        <f ca="1" t="shared" si="13"/>
        <v>0.7189352792404329</v>
      </c>
    </row>
    <row r="15" spans="2:14" ht="15.75" thickBot="1">
      <c r="B15" s="152" t="s">
        <v>832</v>
      </c>
      <c r="C15" s="144">
        <f>VLOOKUP($B15,NFI,6,0)</f>
        <v>1</v>
      </c>
      <c r="D15" s="145">
        <f>$C$4*C15</f>
        <v>24119</v>
      </c>
      <c r="E15" s="146">
        <f ca="1">SUMIFS(INDIRECT(VLOOKUP($B15,NFI,2,0)),NFI_State,$B$4)+C15*E$7</f>
        <v>0</v>
      </c>
      <c r="F15" s="147">
        <f ca="1">IF((E15/D15)&gt;100%,100%,(E15/D15))</f>
        <v>0</v>
      </c>
      <c r="G15" s="146">
        <f ca="1">SUMIFS(INDIRECT(VLOOKUP($B15,NFI,3,0)),NFI_Pipeline_State,$B$4)+C15*G$7</f>
        <v>1839</v>
      </c>
      <c r="H15" s="148">
        <f ca="1">G15/D15</f>
        <v>0.07624694224470334</v>
      </c>
      <c r="I15" s="146">
        <f ca="1">IF((D15-(SUM(E15:G15)))&lt;0,0,(D15-(SUM(E15:G15))))</f>
        <v>22280</v>
      </c>
      <c r="J15" s="176">
        <f ca="1">I15/D15</f>
        <v>0.9237530577552967</v>
      </c>
      <c r="K15" s="146">
        <f ca="1">SUMIFS(INDIRECT(VLOOKUP($B15,NFI,4,0)),NFI_Pipeline_State,$B$4)++C15*K$7</f>
        <v>4940</v>
      </c>
      <c r="L15" s="149">
        <f ca="1">K15/D15</f>
        <v>0.2048177785148638</v>
      </c>
      <c r="M15" s="150">
        <f ca="1" t="shared" si="12"/>
        <v>17340</v>
      </c>
      <c r="N15" s="151">
        <f ca="1" t="shared" si="13"/>
        <v>0.7189352792404329</v>
      </c>
    </row>
    <row r="16" spans="2:14" ht="15">
      <c r="B16" s="153" t="s">
        <v>1026</v>
      </c>
      <c r="C16" s="144">
        <f>VLOOKUP($B16,NFI,6,0)</f>
        <v>2</v>
      </c>
      <c r="D16" s="145">
        <f>$C$4*C16</f>
        <v>48238</v>
      </c>
      <c r="E16" s="146">
        <f ca="1">SUMIFS(INDIRECT(VLOOKUP($B16,NFI,2,0)),NFI_State,$B$4)</f>
        <v>0</v>
      </c>
      <c r="F16" s="147">
        <f ca="1">IF((E16/D16)&gt;100%,100%,(E16/D16))</f>
        <v>0</v>
      </c>
      <c r="G16" s="146">
        <f ca="1">SUMIFS(INDIRECT(VLOOKUP($B16,NFI,3,0)),NFI_Pipeline_State,$B$4)+C16*G$7</f>
        <v>3678</v>
      </c>
      <c r="H16" s="148">
        <f ca="1">G16/D16</f>
        <v>0.07624694224470334</v>
      </c>
      <c r="I16" s="146">
        <f ca="1">IF((D16-(SUM(E16:G16)))&lt;0,0,(D16-(SUM(E16:G16))))</f>
        <v>44560</v>
      </c>
      <c r="J16" s="176">
        <f ca="1">I16/D16</f>
        <v>0.9237530577552967</v>
      </c>
      <c r="K16" s="146">
        <f ca="1">SUMIFS(INDIRECT(VLOOKUP($B16,NFI,4,0)),NFI_Pipeline_State,$B$4)++C16*K$7</f>
        <v>9880</v>
      </c>
      <c r="L16" s="149">
        <f ca="1">K16/D16</f>
        <v>0.2048177785148638</v>
      </c>
      <c r="M16" s="150">
        <f ca="1" t="shared" si="12"/>
        <v>34680</v>
      </c>
      <c r="N16" s="151">
        <f ca="1" t="shared" si="13"/>
        <v>0.7189352792404329</v>
      </c>
    </row>
    <row r="17" spans="2:14" ht="15"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</row>
    <row r="31" spans="2:14" ht="15"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</row>
    <row r="32" spans="2:14" ht="15"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</row>
    <row r="33" spans="2:14" ht="15"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</row>
    <row r="34" spans="2:14" ht="15"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</row>
    <row r="35" spans="3:14" ht="15"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</row>
    <row r="36" spans="2:14" ht="15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</row>
    <row r="37" spans="2:15" ht="36.75" thickBot="1">
      <c r="B37" s="271" t="s">
        <v>433</v>
      </c>
      <c r="C37" s="270">
        <f>NFIAnalysis!B42</f>
        <v>18338.6</v>
      </c>
      <c r="D37" s="134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33"/>
    </row>
    <row r="38" spans="2:16" ht="26.25" thickBot="1">
      <c r="B38" s="135" t="s">
        <v>1260</v>
      </c>
      <c r="C38" s="135" t="s">
        <v>978</v>
      </c>
      <c r="D38" s="136" t="s">
        <v>979</v>
      </c>
      <c r="E38" s="137" t="s">
        <v>980</v>
      </c>
      <c r="F38" s="137" t="s">
        <v>980</v>
      </c>
      <c r="G38" s="138" t="s">
        <v>981</v>
      </c>
      <c r="H38" s="138" t="s">
        <v>981</v>
      </c>
      <c r="I38" s="139" t="s">
        <v>982</v>
      </c>
      <c r="J38" s="140" t="s">
        <v>982</v>
      </c>
      <c r="K38" s="149" t="s">
        <v>805</v>
      </c>
      <c r="L38" s="149" t="s">
        <v>805</v>
      </c>
      <c r="M38" s="141" t="s">
        <v>983</v>
      </c>
      <c r="N38" s="141" t="s">
        <v>983</v>
      </c>
      <c r="P38" s="142">
        <v>1</v>
      </c>
    </row>
    <row r="39" spans="2:16" ht="15.75" thickBot="1">
      <c r="B39" s="143" t="s">
        <v>984</v>
      </c>
      <c r="C39" s="144">
        <f aca="true" t="shared" si="14" ref="C39:C41">VLOOKUP($B39,NFI,6,0)</f>
        <v>1</v>
      </c>
      <c r="D39" s="145">
        <f>$C$37*C39</f>
        <v>18338.6</v>
      </c>
      <c r="E39" s="146">
        <f ca="1">SUMIFS(INDIRECT(VLOOKUP($B39,NFI,2,0)),NFI_State,$B$37)</f>
        <v>60</v>
      </c>
      <c r="F39" s="147">
        <f ca="1">IF((E39/D39)&gt;100%,100%,(E39/D39))</f>
        <v>0.003271787377444298</v>
      </c>
      <c r="G39" s="146">
        <f aca="true" t="shared" si="15" ref="G39:G41">SUMIFS(INDIRECT(VLOOKUP($B39,NFI,3,0)),NFI_Pipeline_State,$B$37)</f>
        <v>0</v>
      </c>
      <c r="H39" s="148">
        <f ca="1">G39/D39</f>
        <v>0</v>
      </c>
      <c r="I39" s="146">
        <f ca="1">IF((D39-(SUM(E39:G39)))&lt;0,0,(D39-(SUM(E39:G39))))</f>
        <v>18278.596728212622</v>
      </c>
      <c r="J39" s="176">
        <f ca="1">I39/D39</f>
        <v>0.9967280342126784</v>
      </c>
      <c r="K39" s="146">
        <f aca="true" t="shared" si="16" ref="K39:K41">SUMIFS(INDIRECT(VLOOKUP($B39,NFI,4,0)),NFI_Pipeline_State,$B$37)</f>
        <v>0</v>
      </c>
      <c r="L39" s="149">
        <f ca="1">K39/D39</f>
        <v>0</v>
      </c>
      <c r="M39" s="150">
        <f ca="1">IF((D39-(E39+G39+K39))&lt;0,0,(D39-(E39+G39+K39)))</f>
        <v>18278.6</v>
      </c>
      <c r="N39" s="151">
        <f ca="1">M39/D39</f>
        <v>0.9967282126225557</v>
      </c>
      <c r="P39" s="142">
        <v>1</v>
      </c>
    </row>
    <row r="40" spans="2:16" ht="15.75" thickBot="1">
      <c r="B40" s="152" t="s">
        <v>799</v>
      </c>
      <c r="C40" s="144">
        <f t="shared" si="14"/>
        <v>1</v>
      </c>
      <c r="D40" s="145">
        <f aca="true" t="shared" si="17" ref="D40:D41">$C$37*C40</f>
        <v>18338.6</v>
      </c>
      <c r="E40" s="146">
        <f aca="true" t="shared" si="18" ref="E40:E41">SUMIFS(INDIRECT(VLOOKUP($B40,NFI,2,0)),NFI_State,$B$37)</f>
        <v>0</v>
      </c>
      <c r="F40" s="147">
        <f aca="true" t="shared" si="19" ref="F40:F41">IF((E40/D40)&gt;100%,100%,(E40/D40))</f>
        <v>0</v>
      </c>
      <c r="G40" s="146">
        <f ca="1" t="shared" si="15"/>
        <v>0</v>
      </c>
      <c r="H40" s="148">
        <f aca="true" t="shared" si="20" ref="H40:H41">G40/D40</f>
        <v>0</v>
      </c>
      <c r="I40" s="146">
        <f aca="true" t="shared" si="21" ref="I40:I41">IF((D40-(SUM(E40:G40)))&lt;0,0,(D40-(SUM(E40:G40))))</f>
        <v>18338.6</v>
      </c>
      <c r="J40" s="176">
        <f aca="true" t="shared" si="22" ref="J40:J41">I40/D40</f>
        <v>1</v>
      </c>
      <c r="K40" s="146">
        <f ca="1" t="shared" si="16"/>
        <v>0</v>
      </c>
      <c r="L40" s="149">
        <f aca="true" t="shared" si="23" ref="L40:L41">K40/D40</f>
        <v>0</v>
      </c>
      <c r="M40" s="150">
        <f aca="true" t="shared" si="24" ref="M40:M41">IF((D40-(E40+G40+K40))&lt;0,0,(D40-(E40+G40+K40)))</f>
        <v>18338.6</v>
      </c>
      <c r="N40" s="151">
        <f aca="true" t="shared" si="25" ref="N40:N41">M40/D40</f>
        <v>1</v>
      </c>
      <c r="P40" s="142">
        <v>1</v>
      </c>
    </row>
    <row r="41" spans="2:16" ht="15">
      <c r="B41" s="152" t="s">
        <v>985</v>
      </c>
      <c r="C41" s="144">
        <f t="shared" si="14"/>
        <v>1</v>
      </c>
      <c r="D41" s="145">
        <f t="shared" si="17"/>
        <v>18338.6</v>
      </c>
      <c r="E41" s="146">
        <f ca="1" t="shared" si="18"/>
        <v>0</v>
      </c>
      <c r="F41" s="147">
        <f ca="1" t="shared" si="19"/>
        <v>0</v>
      </c>
      <c r="G41" s="146">
        <f ca="1" t="shared" si="15"/>
        <v>0</v>
      </c>
      <c r="H41" s="148">
        <f ca="1" t="shared" si="20"/>
        <v>0</v>
      </c>
      <c r="I41" s="146">
        <f ca="1" t="shared" si="21"/>
        <v>18338.6</v>
      </c>
      <c r="J41" s="176">
        <f ca="1" t="shared" si="22"/>
        <v>1</v>
      </c>
      <c r="K41" s="146">
        <f ca="1" t="shared" si="16"/>
        <v>0</v>
      </c>
      <c r="L41" s="149">
        <f ca="1" t="shared" si="23"/>
        <v>0</v>
      </c>
      <c r="M41" s="150">
        <f ca="1" t="shared" si="24"/>
        <v>18338.6</v>
      </c>
      <c r="N41" s="151">
        <f ca="1" t="shared" si="25"/>
        <v>1</v>
      </c>
      <c r="P41" s="142">
        <v>1</v>
      </c>
    </row>
    <row r="42" ht="15">
      <c r="P42" s="142">
        <v>1</v>
      </c>
    </row>
    <row r="43" ht="15.75" thickBot="1">
      <c r="P43" s="142">
        <v>1</v>
      </c>
    </row>
    <row r="44" spans="2:16" ht="26.25" thickBot="1">
      <c r="B44" s="135" t="s">
        <v>1261</v>
      </c>
      <c r="C44" s="135" t="s">
        <v>978</v>
      </c>
      <c r="D44" s="136" t="s">
        <v>979</v>
      </c>
      <c r="E44" s="137" t="s">
        <v>980</v>
      </c>
      <c r="F44" s="137" t="s">
        <v>980</v>
      </c>
      <c r="G44" s="138" t="s">
        <v>981</v>
      </c>
      <c r="H44" s="138" t="s">
        <v>981</v>
      </c>
      <c r="I44" s="139" t="s">
        <v>982</v>
      </c>
      <c r="J44" s="140" t="s">
        <v>982</v>
      </c>
      <c r="K44" s="149" t="s">
        <v>805</v>
      </c>
      <c r="L44" s="149" t="s">
        <v>805</v>
      </c>
      <c r="M44" s="141" t="s">
        <v>983</v>
      </c>
      <c r="N44" s="141" t="s">
        <v>983</v>
      </c>
      <c r="P44" s="142">
        <v>1</v>
      </c>
    </row>
    <row r="45" spans="2:16" ht="15.75" thickBot="1">
      <c r="B45" s="152" t="s">
        <v>986</v>
      </c>
      <c r="C45" s="144">
        <f>VLOOKUP($B45,NFI,6,0)</f>
        <v>2</v>
      </c>
      <c r="D45" s="145">
        <f>$C$37*C45</f>
        <v>36677.2</v>
      </c>
      <c r="E45" s="146">
        <f ca="1">SUMIFS(INDIRECT(VLOOKUP($B45,NFI,2,0)),NFI_State,$B$37)</f>
        <v>0</v>
      </c>
      <c r="F45" s="147">
        <f ca="1">IF((E45/D45)&gt;100%,100%,(E45/D45))</f>
        <v>0</v>
      </c>
      <c r="G45" s="146">
        <f ca="1">SUMIFS(INDIRECT(VLOOKUP($B45,NFI,3,0)),NFI_Pipeline_State,$B$37)</f>
        <v>0</v>
      </c>
      <c r="H45" s="148">
        <f ca="1">G45/D45</f>
        <v>0</v>
      </c>
      <c r="I45" s="146">
        <f ca="1">IF((D45-(SUM(E45:G45)))&lt;0,0,(D45-(SUM(E45:G45))))</f>
        <v>36677.2</v>
      </c>
      <c r="J45" s="176">
        <f ca="1">I45/D45</f>
        <v>1</v>
      </c>
      <c r="K45" s="146">
        <f ca="1">SUMIFS(INDIRECT(VLOOKUP($B45,NFI,4,0)),NFI_Pipeline_State,$B$37)</f>
        <v>0</v>
      </c>
      <c r="L45" s="149">
        <f ca="1">K45/D45</f>
        <v>0</v>
      </c>
      <c r="M45" s="150">
        <f ca="1">IF((D45-(E45+G45+K45))&lt;0,0,(D45-(E45+G45+K45)))</f>
        <v>36677.2</v>
      </c>
      <c r="N45" s="151">
        <f ca="1">M45/D45</f>
        <v>1</v>
      </c>
      <c r="P45" s="142">
        <v>1</v>
      </c>
    </row>
    <row r="46" spans="2:16" ht="15.75" thickBot="1">
      <c r="B46" s="152" t="s">
        <v>987</v>
      </c>
      <c r="C46" s="144">
        <f>VLOOKUP($B46,NFI,6,0)</f>
        <v>1</v>
      </c>
      <c r="D46" s="145">
        <f>$C$37*C46</f>
        <v>18338.6</v>
      </c>
      <c r="E46" s="146">
        <f ca="1">SUMIFS(INDIRECT(VLOOKUP($B46,NFI,2,0)),NFI_State,$B$37)</f>
        <v>0</v>
      </c>
      <c r="F46" s="147">
        <f ca="1">IF((E46/D46)&gt;100%,100%,(E46/D46))</f>
        <v>0</v>
      </c>
      <c r="G46" s="146">
        <f ca="1">SUMIFS(INDIRECT(VLOOKUP($B46,NFI,3,0)),NFI_Pipeline_State,$B$37)</f>
        <v>0</v>
      </c>
      <c r="H46" s="148">
        <f ca="1">G46/D46</f>
        <v>0</v>
      </c>
      <c r="I46" s="146">
        <f ca="1">IF((D46-(SUM(E46:G46)))&lt;0,0,(D46-(SUM(E46:G46))))</f>
        <v>18338.6</v>
      </c>
      <c r="J46" s="176">
        <f ca="1">I46/D46</f>
        <v>1</v>
      </c>
      <c r="K46" s="146">
        <f ca="1">SUMIFS(INDIRECT(VLOOKUP($B46,NFI,4,0)),NFI_Pipeline_State,$B$37)</f>
        <v>0</v>
      </c>
      <c r="L46" s="149">
        <f ca="1">K46/D46</f>
        <v>0</v>
      </c>
      <c r="M46" s="150">
        <f ca="1">IF((D46-(E46+G46+K46))&lt;0,0,(D46-(E46+G46+K46)))</f>
        <v>18338.6</v>
      </c>
      <c r="N46" s="151">
        <f ca="1">M46/D46</f>
        <v>1</v>
      </c>
      <c r="P46" s="142">
        <v>1</v>
      </c>
    </row>
    <row r="47" spans="2:14" ht="15.75" thickBot="1">
      <c r="B47" s="152" t="s">
        <v>831</v>
      </c>
      <c r="C47" s="144">
        <f>VLOOKUP($B47,NFI,6,0)</f>
        <v>1</v>
      </c>
      <c r="D47" s="145">
        <f>$C$37*C47</f>
        <v>18338.6</v>
      </c>
      <c r="E47" s="146">
        <f ca="1">SUMIFS(INDIRECT(VLOOKUP($B47,NFI,2,0)),NFI_State,$B$37)</f>
        <v>0</v>
      </c>
      <c r="F47" s="147">
        <f ca="1">IF((E47/D47)&gt;100%,100%,(E47/D47))</f>
        <v>0</v>
      </c>
      <c r="G47" s="146">
        <f ca="1">SUMIFS(INDIRECT(VLOOKUP($B47,NFI,3,0)),NFI_Pipeline_State,$B$37)</f>
        <v>0</v>
      </c>
      <c r="H47" s="148">
        <f ca="1">G47/D47</f>
        <v>0</v>
      </c>
      <c r="I47" s="146">
        <f ca="1">IF((D47-(SUM(E47:G47)))&lt;0,0,(D47-(SUM(E47:G47))))</f>
        <v>18338.6</v>
      </c>
      <c r="J47" s="176">
        <f ca="1">I47/D47</f>
        <v>1</v>
      </c>
      <c r="K47" s="146">
        <f ca="1">SUMIFS(INDIRECT(VLOOKUP($B47,NFI,4,0)),NFI_Pipeline_State,$B$37)</f>
        <v>0</v>
      </c>
      <c r="L47" s="149">
        <f ca="1">K47/D47</f>
        <v>0</v>
      </c>
      <c r="M47" s="150">
        <f ca="1">IF((D47-(E47+G47+K47))&lt;0,0,(D47-(E47+G47+K47)))</f>
        <v>18338.6</v>
      </c>
      <c r="N47" s="151">
        <f ca="1">M47/D47</f>
        <v>1</v>
      </c>
    </row>
    <row r="48" spans="2:14" ht="15.75" thickBot="1">
      <c r="B48" s="152" t="s">
        <v>832</v>
      </c>
      <c r="C48" s="144">
        <f>VLOOKUP($B48,NFI,6,0)</f>
        <v>1</v>
      </c>
      <c r="D48" s="145">
        <f>$C$37*C48</f>
        <v>18338.6</v>
      </c>
      <c r="E48" s="146">
        <f ca="1">SUMIFS(INDIRECT(VLOOKUP($B48,NFI,2,0)),NFI_State,$B$37)</f>
        <v>0</v>
      </c>
      <c r="F48" s="147">
        <f ca="1">IF((E48/D48)&gt;100%,100%,(E48/D48))</f>
        <v>0</v>
      </c>
      <c r="G48" s="146">
        <f ca="1">SUMIFS(INDIRECT(VLOOKUP($B48,NFI,3,0)),NFI_Pipeline_State,$B$37)</f>
        <v>0</v>
      </c>
      <c r="H48" s="148">
        <f ca="1">G48/D48</f>
        <v>0</v>
      </c>
      <c r="I48" s="146">
        <f ca="1">IF((D48-(SUM(E48:G48)))&lt;0,0,(D48-(SUM(E48:G48))))</f>
        <v>18338.6</v>
      </c>
      <c r="J48" s="176">
        <f ca="1">I48/D48</f>
        <v>1</v>
      </c>
      <c r="K48" s="146">
        <f ca="1">SUMIFS(INDIRECT(VLOOKUP($B48,NFI,4,0)),NFI_Pipeline_State,$B$37)</f>
        <v>0</v>
      </c>
      <c r="L48" s="149">
        <f ca="1">K48/D48</f>
        <v>0</v>
      </c>
      <c r="M48" s="150">
        <f ca="1">IF((D48-(E48+G48+K48))&lt;0,0,(D48-(E48+G48+K48)))</f>
        <v>18338.6</v>
      </c>
      <c r="N48" s="151">
        <f ca="1">M48/D48</f>
        <v>1</v>
      </c>
    </row>
    <row r="49" spans="2:14" ht="15">
      <c r="B49" s="153" t="s">
        <v>1026</v>
      </c>
      <c r="C49" s="144">
        <f>VLOOKUP($B49,NFI,6,0)</f>
        <v>2</v>
      </c>
      <c r="D49" s="145">
        <f>$C$37*C49</f>
        <v>36677.2</v>
      </c>
      <c r="E49" s="146">
        <f ca="1">SUMIFS(INDIRECT(VLOOKUP($B49,NFI,2,0)),NFI_State,$B$37)</f>
        <v>0</v>
      </c>
      <c r="F49" s="147">
        <f ca="1">IF((E49/D49)&gt;100%,100%,(E49/D49))</f>
        <v>0</v>
      </c>
      <c r="G49" s="146">
        <f ca="1">SUMIFS(INDIRECT(VLOOKUP($B49,NFI,3,0)),NFI_Pipeline_State,$B$37)</f>
        <v>0</v>
      </c>
      <c r="H49" s="148">
        <f ca="1">G49/D49</f>
        <v>0</v>
      </c>
      <c r="I49" s="146">
        <f ca="1">IF((D49-(SUM(E49:G49)))&lt;0,0,(D49-(SUM(E49:G49))))</f>
        <v>36677.2</v>
      </c>
      <c r="J49" s="176">
        <f ca="1">I49/D49</f>
        <v>1</v>
      </c>
      <c r="K49" s="146">
        <f ca="1">SUMIFS(INDIRECT(VLOOKUP($B49,NFI,4,0)),NFI_Pipeline_State,$B$37)</f>
        <v>0</v>
      </c>
      <c r="L49" s="149">
        <f ca="1">K49/D49</f>
        <v>0</v>
      </c>
      <c r="M49" s="150">
        <f ca="1">IF((D49-(E49+G49+K49))&lt;0,0,(D49-(E49+G49+K49)))</f>
        <v>36677.2</v>
      </c>
      <c r="N49" s="151">
        <f ca="1">M49/D49</f>
        <v>1</v>
      </c>
    </row>
    <row r="64" spans="2:14" ht="15"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</row>
    <row r="65" spans="2:14" ht="15"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</row>
    <row r="66" spans="2:14" ht="15"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</row>
    <row r="67" spans="2:14" ht="15"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</row>
    <row r="68" spans="3:14" ht="15"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</row>
    <row r="69" spans="1:15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</sheetData>
  <mergeCells count="1">
    <mergeCell ref="A3:C3"/>
  </mergeCells>
  <printOptions/>
  <pageMargins left="0.25" right="0.25" top="0.75" bottom="0.75" header="0.3" footer="0.3"/>
  <pageSetup fitToHeight="0" fitToWidth="1" horizontalDpi="600" verticalDpi="600" orientation="landscape" paperSize="9" scale="86" r:id="rId2"/>
  <rowBreaks count="1" manualBreakCount="1">
    <brk id="35" max="16383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14"/>
  <sheetViews>
    <sheetView showZeros="0"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F12" sqref="F12"/>
    </sheetView>
  </sheetViews>
  <sheetFormatPr defaultColWidth="9.140625" defaultRowHeight="15"/>
  <cols>
    <col min="1" max="1" width="15.421875" style="169" customWidth="1"/>
    <col min="2" max="2" width="13.421875" style="169" customWidth="1"/>
    <col min="3" max="3" width="13.140625" style="169" customWidth="1"/>
    <col min="4" max="4" width="33.7109375" style="169" customWidth="1"/>
    <col min="5" max="5" width="13.00390625" style="169" customWidth="1"/>
    <col min="6" max="6" width="13.57421875" style="169" customWidth="1"/>
    <col min="7" max="7" width="10.28125" style="169" customWidth="1"/>
    <col min="8" max="8" width="18.00390625" style="169" customWidth="1"/>
    <col min="9" max="9" width="22.8515625" style="169" customWidth="1"/>
    <col min="10" max="10" width="8.8515625" style="0" customWidth="1"/>
    <col min="11" max="16384" width="9.140625" style="169" customWidth="1"/>
  </cols>
  <sheetData>
    <row r="1" spans="1:10" ht="15" customHeight="1">
      <c r="A1" s="371" t="s">
        <v>1074</v>
      </c>
      <c r="B1" s="371"/>
      <c r="C1" s="371"/>
      <c r="D1" s="371"/>
      <c r="E1" s="371"/>
      <c r="F1" s="371"/>
      <c r="G1" s="371"/>
      <c r="J1" s="169"/>
    </row>
    <row r="2" spans="1:10" ht="15" customHeight="1">
      <c r="A2" s="371"/>
      <c r="B2" s="371"/>
      <c r="C2" s="371"/>
      <c r="D2" s="371"/>
      <c r="E2" s="371"/>
      <c r="F2" s="371"/>
      <c r="G2" s="371"/>
      <c r="J2" s="169"/>
    </row>
    <row r="3" ht="15">
      <c r="J3" s="169"/>
    </row>
    <row r="4" spans="1:10" ht="45.75" customHeight="1">
      <c r="A4" s="18" t="s">
        <v>1059</v>
      </c>
      <c r="B4" s="18" t="s">
        <v>451</v>
      </c>
      <c r="C4" s="18" t="s">
        <v>1</v>
      </c>
      <c r="D4" s="18" t="s">
        <v>450</v>
      </c>
      <c r="E4" s="21" t="s">
        <v>1060</v>
      </c>
      <c r="F4" s="21" t="s">
        <v>1062</v>
      </c>
      <c r="G4" s="21" t="s">
        <v>1064</v>
      </c>
      <c r="H4" s="21" t="s">
        <v>1063</v>
      </c>
      <c r="I4" s="21" t="s">
        <v>1065</v>
      </c>
      <c r="J4" s="169"/>
    </row>
    <row r="5" spans="1:10" ht="15">
      <c r="A5" s="184" t="s">
        <v>994</v>
      </c>
      <c r="B5" s="185" t="s">
        <v>433</v>
      </c>
      <c r="C5" s="186" t="s">
        <v>7</v>
      </c>
      <c r="D5" s="185" t="s">
        <v>8</v>
      </c>
      <c r="E5" s="169" t="s">
        <v>871</v>
      </c>
      <c r="J5" s="169"/>
    </row>
    <row r="6" spans="1:10" ht="15">
      <c r="A6" s="184" t="s">
        <v>994</v>
      </c>
      <c r="B6" s="185" t="s">
        <v>433</v>
      </c>
      <c r="C6" s="186" t="s">
        <v>7</v>
      </c>
      <c r="D6" s="185" t="s">
        <v>20</v>
      </c>
      <c r="E6" s="169" t="s">
        <v>871</v>
      </c>
      <c r="J6" s="169"/>
    </row>
    <row r="7" spans="1:10" ht="15">
      <c r="A7" s="184" t="s">
        <v>994</v>
      </c>
      <c r="B7" s="185" t="s">
        <v>433</v>
      </c>
      <c r="C7" s="186" t="s">
        <v>7</v>
      </c>
      <c r="D7" s="185" t="s">
        <v>22</v>
      </c>
      <c r="E7" s="169" t="s">
        <v>871</v>
      </c>
      <c r="J7" s="169"/>
    </row>
    <row r="8" spans="1:10" ht="15">
      <c r="A8" s="184" t="s">
        <v>994</v>
      </c>
      <c r="B8" s="185" t="s">
        <v>433</v>
      </c>
      <c r="C8" s="186" t="s">
        <v>7</v>
      </c>
      <c r="D8" s="185" t="s">
        <v>417</v>
      </c>
      <c r="E8" s="169" t="s">
        <v>871</v>
      </c>
      <c r="J8" s="169"/>
    </row>
    <row r="9" spans="1:10" ht="15">
      <c r="A9" s="184" t="s">
        <v>994</v>
      </c>
      <c r="B9" s="185" t="s">
        <v>433</v>
      </c>
      <c r="C9" s="186" t="s">
        <v>7</v>
      </c>
      <c r="D9" s="185" t="s">
        <v>24</v>
      </c>
      <c r="E9" s="169" t="s">
        <v>871</v>
      </c>
      <c r="J9" s="169"/>
    </row>
    <row r="10" spans="1:10" ht="30">
      <c r="A10" s="184" t="s">
        <v>994</v>
      </c>
      <c r="B10" s="185" t="s">
        <v>433</v>
      </c>
      <c r="C10" s="186" t="s">
        <v>7</v>
      </c>
      <c r="D10" s="185" t="s">
        <v>26</v>
      </c>
      <c r="E10" s="169" t="s">
        <v>871</v>
      </c>
      <c r="J10" s="169"/>
    </row>
    <row r="11" spans="1:10" ht="15">
      <c r="A11" s="184" t="s">
        <v>994</v>
      </c>
      <c r="B11" s="185" t="s">
        <v>433</v>
      </c>
      <c r="C11" s="186" t="s">
        <v>997</v>
      </c>
      <c r="D11" s="185" t="s">
        <v>227</v>
      </c>
      <c r="E11" s="169" t="s">
        <v>871</v>
      </c>
      <c r="J11" s="169"/>
    </row>
    <row r="12" spans="1:10" ht="15">
      <c r="A12" s="184" t="s">
        <v>994</v>
      </c>
      <c r="B12" s="185" t="s">
        <v>433</v>
      </c>
      <c r="C12" s="186" t="s">
        <v>998</v>
      </c>
      <c r="D12" s="185" t="s">
        <v>156</v>
      </c>
      <c r="E12" s="169" t="s">
        <v>871</v>
      </c>
      <c r="J12" s="169"/>
    </row>
    <row r="13" spans="1:10" ht="15">
      <c r="A13" s="184" t="s">
        <v>994</v>
      </c>
      <c r="B13" s="185" t="s">
        <v>433</v>
      </c>
      <c r="C13" s="186" t="s">
        <v>155</v>
      </c>
      <c r="D13" s="185" t="s">
        <v>202</v>
      </c>
      <c r="E13" s="169" t="s">
        <v>871</v>
      </c>
      <c r="J13" s="169"/>
    </row>
    <row r="14" spans="1:10" ht="15">
      <c r="A14" s="184" t="s">
        <v>994</v>
      </c>
      <c r="B14" s="185" t="s">
        <v>433</v>
      </c>
      <c r="C14" s="186" t="s">
        <v>155</v>
      </c>
      <c r="D14" s="185" t="s">
        <v>158</v>
      </c>
      <c r="E14" s="169" t="s">
        <v>871</v>
      </c>
      <c r="J14" s="169"/>
    </row>
    <row r="15" spans="1:10" ht="15">
      <c r="A15" s="184" t="s">
        <v>994</v>
      </c>
      <c r="B15" s="185" t="s">
        <v>433</v>
      </c>
      <c r="C15" s="186" t="s">
        <v>998</v>
      </c>
      <c r="D15" s="185" t="s">
        <v>156</v>
      </c>
      <c r="E15" s="169" t="s">
        <v>871</v>
      </c>
      <c r="J15" s="169"/>
    </row>
    <row r="16" spans="1:10" ht="15">
      <c r="A16" s="184" t="s">
        <v>994</v>
      </c>
      <c r="B16" s="185" t="s">
        <v>433</v>
      </c>
      <c r="C16" s="186" t="s">
        <v>998</v>
      </c>
      <c r="D16" s="185" t="s">
        <v>156</v>
      </c>
      <c r="E16" s="169" t="s">
        <v>1066</v>
      </c>
      <c r="J16" s="169"/>
    </row>
    <row r="17" spans="1:10" ht="15">
      <c r="A17" s="190">
        <v>41416</v>
      </c>
      <c r="B17" s="128" t="s">
        <v>433</v>
      </c>
      <c r="C17" s="186" t="s">
        <v>155</v>
      </c>
      <c r="D17" s="185" t="s">
        <v>202</v>
      </c>
      <c r="E17" s="169" t="s">
        <v>872</v>
      </c>
      <c r="J17" s="169"/>
    </row>
    <row r="18" spans="1:10" ht="15">
      <c r="A18" s="190">
        <v>41416</v>
      </c>
      <c r="B18" s="128" t="s">
        <v>433</v>
      </c>
      <c r="C18" s="186" t="s">
        <v>155</v>
      </c>
      <c r="D18" s="185" t="s">
        <v>202</v>
      </c>
      <c r="E18" s="169" t="s">
        <v>872</v>
      </c>
      <c r="J18" s="169"/>
    </row>
    <row r="19" spans="1:10" ht="15">
      <c r="A19" s="190">
        <v>41416</v>
      </c>
      <c r="B19" s="128" t="s">
        <v>433</v>
      </c>
      <c r="C19" s="186" t="s">
        <v>155</v>
      </c>
      <c r="D19" s="185" t="s">
        <v>158</v>
      </c>
      <c r="E19" s="169" t="s">
        <v>872</v>
      </c>
      <c r="J19" s="169"/>
    </row>
    <row r="20" spans="1:10" ht="15">
      <c r="A20" s="190">
        <v>41416</v>
      </c>
      <c r="B20" s="128" t="s">
        <v>433</v>
      </c>
      <c r="C20" s="186" t="s">
        <v>155</v>
      </c>
      <c r="D20" s="185" t="s">
        <v>158</v>
      </c>
      <c r="E20" s="169" t="s">
        <v>872</v>
      </c>
      <c r="J20" s="169"/>
    </row>
    <row r="21" spans="1:10" ht="15">
      <c r="A21" s="190">
        <v>41416</v>
      </c>
      <c r="B21" s="128" t="s">
        <v>433</v>
      </c>
      <c r="C21" s="186" t="s">
        <v>998</v>
      </c>
      <c r="D21" s="185" t="s">
        <v>156</v>
      </c>
      <c r="E21" s="169" t="s">
        <v>872</v>
      </c>
      <c r="J21" s="169"/>
    </row>
    <row r="22" spans="1:10" ht="15">
      <c r="A22" s="191">
        <v>41422</v>
      </c>
      <c r="B22" s="193" t="s">
        <v>433</v>
      </c>
      <c r="C22" s="186" t="s">
        <v>998</v>
      </c>
      <c r="D22" s="185" t="s">
        <v>156</v>
      </c>
      <c r="E22" s="169" t="s">
        <v>872</v>
      </c>
      <c r="F22" s="2"/>
      <c r="G22" s="2"/>
      <c r="H22" s="2"/>
      <c r="I22" s="2"/>
      <c r="J22" s="169"/>
    </row>
    <row r="23" spans="1:10" ht="15">
      <c r="A23" s="194"/>
      <c r="B23" s="195"/>
      <c r="C23" s="196"/>
      <c r="D23" s="185"/>
      <c r="F23" s="2"/>
      <c r="G23" s="2"/>
      <c r="H23" s="2"/>
      <c r="I23" s="2"/>
      <c r="J23" s="169"/>
    </row>
    <row r="24" spans="3:10" ht="15">
      <c r="C24" s="3"/>
      <c r="J24" s="169"/>
    </row>
    <row r="25" spans="3:10" ht="15">
      <c r="C25" s="3"/>
      <c r="J25" s="169"/>
    </row>
    <row r="26" spans="3:10" ht="15">
      <c r="C26" s="3"/>
      <c r="J26" s="169"/>
    </row>
    <row r="27" spans="3:10" ht="15">
      <c r="C27" s="3"/>
      <c r="J27" s="169"/>
    </row>
    <row r="28" spans="3:10" ht="15">
      <c r="C28" s="3"/>
      <c r="J28" s="169"/>
    </row>
    <row r="29" spans="3:10" ht="15">
      <c r="C29" s="3"/>
      <c r="J29" s="169"/>
    </row>
    <row r="30" spans="3:10" ht="15">
      <c r="C30" s="3"/>
      <c r="J30" s="169"/>
    </row>
    <row r="31" spans="3:10" ht="15">
      <c r="C31" s="3"/>
      <c r="J31" s="169"/>
    </row>
    <row r="32" spans="3:10" ht="15">
      <c r="C32" s="3"/>
      <c r="J32" s="169"/>
    </row>
    <row r="33" spans="3:10" ht="15">
      <c r="C33" s="3"/>
      <c r="J33" s="169"/>
    </row>
    <row r="34" spans="3:10" ht="15">
      <c r="C34" s="3"/>
      <c r="J34" s="169"/>
    </row>
    <row r="35" spans="3:10" ht="15">
      <c r="C35" s="3"/>
      <c r="J35" s="169"/>
    </row>
    <row r="36" spans="3:10" ht="15">
      <c r="C36" s="3"/>
      <c r="J36" s="169"/>
    </row>
    <row r="37" spans="3:10" ht="15">
      <c r="C37" s="3"/>
      <c r="J37" s="169"/>
    </row>
    <row r="38" spans="3:10" ht="15">
      <c r="C38" s="3"/>
      <c r="J38" s="169"/>
    </row>
    <row r="39" spans="3:10" ht="15">
      <c r="C39" s="3"/>
      <c r="J39" s="169"/>
    </row>
    <row r="40" spans="3:10" ht="15">
      <c r="C40" s="3"/>
      <c r="J40" s="169"/>
    </row>
    <row r="41" spans="3:10" ht="15">
      <c r="C41" s="3"/>
      <c r="J41" s="169"/>
    </row>
    <row r="42" spans="3:10" ht="15">
      <c r="C42" s="3"/>
      <c r="J42" s="169"/>
    </row>
    <row r="43" spans="3:10" ht="15">
      <c r="C43" s="3"/>
      <c r="J43" s="169"/>
    </row>
    <row r="44" spans="3:10" ht="15">
      <c r="C44" s="3"/>
      <c r="J44" s="169"/>
    </row>
    <row r="45" spans="3:10" ht="15">
      <c r="C45" s="3"/>
      <c r="J45" s="169"/>
    </row>
    <row r="46" spans="3:10" ht="15">
      <c r="C46" s="3"/>
      <c r="J46" s="169"/>
    </row>
    <row r="47" spans="3:10" ht="15">
      <c r="C47" s="3"/>
      <c r="J47" s="169"/>
    </row>
    <row r="48" spans="3:10" ht="15">
      <c r="C48" s="3"/>
      <c r="J48" s="169"/>
    </row>
    <row r="49" spans="3:10" ht="15">
      <c r="C49" s="3"/>
      <c r="J49" s="169"/>
    </row>
    <row r="50" spans="3:10" ht="15">
      <c r="C50" s="3"/>
      <c r="J50" s="169"/>
    </row>
    <row r="51" spans="3:10" ht="15">
      <c r="C51" s="3"/>
      <c r="J51" s="169"/>
    </row>
    <row r="52" spans="3:10" ht="15">
      <c r="C52" s="3"/>
      <c r="J52" s="169"/>
    </row>
    <row r="53" spans="3:10" ht="15">
      <c r="C53" s="3"/>
      <c r="J53" s="169"/>
    </row>
    <row r="54" spans="3:10" ht="15">
      <c r="C54" s="3"/>
      <c r="J54" s="169"/>
    </row>
    <row r="55" spans="3:10" ht="15">
      <c r="C55" s="3"/>
      <c r="J55" s="169"/>
    </row>
    <row r="56" spans="3:10" ht="15">
      <c r="C56" s="3"/>
      <c r="J56" s="169"/>
    </row>
    <row r="57" spans="3:10" ht="15">
      <c r="C57" s="3"/>
      <c r="J57" s="169"/>
    </row>
    <row r="58" spans="3:10" ht="15">
      <c r="C58" s="3"/>
      <c r="J58" s="169"/>
    </row>
    <row r="59" spans="3:10" ht="15">
      <c r="C59" s="3"/>
      <c r="J59" s="169"/>
    </row>
    <row r="60" spans="3:10" ht="15">
      <c r="C60" s="3"/>
      <c r="J60" s="169"/>
    </row>
    <row r="61" spans="3:10" ht="15">
      <c r="C61" s="3"/>
      <c r="J61" s="169"/>
    </row>
    <row r="62" spans="3:10" ht="15">
      <c r="C62" s="3"/>
      <c r="J62" s="169"/>
    </row>
    <row r="63" spans="3:10" ht="15">
      <c r="C63" s="3"/>
      <c r="J63" s="169"/>
    </row>
    <row r="64" spans="3:10" ht="15">
      <c r="C64" s="3"/>
      <c r="J64" s="169"/>
    </row>
    <row r="65" spans="3:10" ht="15">
      <c r="C65" s="3"/>
      <c r="J65" s="169"/>
    </row>
    <row r="66" spans="3:10" ht="15">
      <c r="C66" s="3"/>
      <c r="J66" s="169"/>
    </row>
    <row r="67" spans="3:10" ht="15">
      <c r="C67" s="3"/>
      <c r="J67" s="169"/>
    </row>
    <row r="68" spans="3:10" ht="15">
      <c r="C68" s="3"/>
      <c r="J68" s="169"/>
    </row>
    <row r="69" spans="3:10" ht="15">
      <c r="C69" s="3"/>
      <c r="J69" s="169"/>
    </row>
    <row r="70" spans="3:10" ht="15">
      <c r="C70" s="3"/>
      <c r="J70" s="169"/>
    </row>
    <row r="71" spans="3:10" ht="15">
      <c r="C71" s="3"/>
      <c r="J71" s="169"/>
    </row>
    <row r="72" spans="3:10" ht="15">
      <c r="C72" s="3"/>
      <c r="J72" s="169"/>
    </row>
    <row r="73" spans="3:10" ht="15">
      <c r="C73" s="3"/>
      <c r="J73" s="169"/>
    </row>
    <row r="74" spans="3:10" ht="15">
      <c r="C74" s="3"/>
      <c r="J74" s="169"/>
    </row>
    <row r="75" spans="3:10" ht="15">
      <c r="C75" s="3"/>
      <c r="J75" s="169"/>
    </row>
    <row r="76" spans="3:10" ht="15">
      <c r="C76" s="3"/>
      <c r="J76" s="169"/>
    </row>
    <row r="77" spans="3:10" ht="15">
      <c r="C77" s="3"/>
      <c r="J77" s="169"/>
    </row>
    <row r="78" spans="3:10" ht="15">
      <c r="C78" s="3"/>
      <c r="J78" s="169"/>
    </row>
    <row r="79" spans="3:10" ht="15">
      <c r="C79" s="3"/>
      <c r="J79" s="169"/>
    </row>
    <row r="80" spans="3:10" ht="15">
      <c r="C80" s="3"/>
      <c r="J80" s="169"/>
    </row>
    <row r="81" spans="3:10" ht="15">
      <c r="C81" s="3"/>
      <c r="J81" s="169"/>
    </row>
    <row r="82" spans="3:10" ht="15">
      <c r="C82" s="3"/>
      <c r="J82" s="169"/>
    </row>
    <row r="83" spans="3:10" ht="15">
      <c r="C83" s="3"/>
      <c r="J83" s="169"/>
    </row>
    <row r="84" spans="3:10" ht="15">
      <c r="C84" s="3"/>
      <c r="J84" s="169"/>
    </row>
    <row r="85" spans="3:10" ht="15">
      <c r="C85" s="3"/>
      <c r="J85" s="169"/>
    </row>
    <row r="86" spans="3:10" ht="15">
      <c r="C86" s="3"/>
      <c r="J86" s="169"/>
    </row>
    <row r="87" spans="3:10" ht="15">
      <c r="C87" s="3"/>
      <c r="J87" s="169"/>
    </row>
    <row r="88" spans="3:10" ht="15">
      <c r="C88" s="3"/>
      <c r="J88" s="169"/>
    </row>
    <row r="89" spans="3:10" ht="15">
      <c r="C89" s="3"/>
      <c r="J89" s="169"/>
    </row>
    <row r="90" spans="3:10" ht="15">
      <c r="C90" s="3"/>
      <c r="J90" s="169"/>
    </row>
    <row r="91" spans="3:10" ht="15">
      <c r="C91" s="3"/>
      <c r="J91" s="169"/>
    </row>
    <row r="92" spans="3:10" ht="15">
      <c r="C92" s="3"/>
      <c r="J92" s="169"/>
    </row>
    <row r="93" spans="3:10" ht="15">
      <c r="C93" s="3"/>
      <c r="J93" s="169"/>
    </row>
    <row r="94" spans="3:10" ht="15">
      <c r="C94" s="3"/>
      <c r="J94" s="169"/>
    </row>
    <row r="95" spans="3:10" ht="15">
      <c r="C95" s="3"/>
      <c r="J95" s="169"/>
    </row>
    <row r="96" spans="3:10" ht="15">
      <c r="C96" s="3"/>
      <c r="J96" s="169"/>
    </row>
    <row r="97" spans="3:10" ht="15">
      <c r="C97" s="3"/>
      <c r="J97" s="169"/>
    </row>
    <row r="98" spans="3:10" ht="15">
      <c r="C98" s="3"/>
      <c r="J98" s="169"/>
    </row>
    <row r="99" spans="3:10" ht="15">
      <c r="C99" s="3"/>
      <c r="J99" s="169"/>
    </row>
    <row r="100" spans="3:10" ht="15">
      <c r="C100" s="3"/>
      <c r="J100" s="169"/>
    </row>
    <row r="101" spans="3:10" ht="15">
      <c r="C101" s="3"/>
      <c r="J101" s="169"/>
    </row>
    <row r="102" spans="3:10" ht="15">
      <c r="C102" s="3"/>
      <c r="J102" s="169"/>
    </row>
    <row r="103" spans="3:10" ht="15">
      <c r="C103" s="3"/>
      <c r="J103" s="169"/>
    </row>
    <row r="104" spans="3:10" ht="15">
      <c r="C104" s="3"/>
      <c r="J104" s="169"/>
    </row>
    <row r="105" spans="3:10" ht="15">
      <c r="C105" s="3"/>
      <c r="J105" s="169"/>
    </row>
    <row r="106" spans="3:10" ht="15">
      <c r="C106" s="3"/>
      <c r="J106" s="169"/>
    </row>
    <row r="107" spans="3:10" ht="15">
      <c r="C107" s="3"/>
      <c r="J107" s="169"/>
    </row>
    <row r="108" spans="3:10" ht="15">
      <c r="C108" s="3"/>
      <c r="J108" s="169"/>
    </row>
    <row r="109" spans="3:10" ht="15">
      <c r="C109" s="3"/>
      <c r="J109" s="169"/>
    </row>
    <row r="110" spans="3:10" ht="15">
      <c r="C110" s="3"/>
      <c r="J110" s="169"/>
    </row>
    <row r="111" spans="3:10" ht="15">
      <c r="C111" s="3"/>
      <c r="J111" s="169"/>
    </row>
    <row r="112" spans="3:10" ht="15">
      <c r="C112" s="3"/>
      <c r="J112" s="169"/>
    </row>
    <row r="113" spans="3:10" ht="15">
      <c r="C113" s="3"/>
      <c r="J113" s="169"/>
    </row>
    <row r="114" spans="3:10" ht="15">
      <c r="C114" s="3"/>
      <c r="J114" s="169"/>
    </row>
    <row r="115" spans="3:10" ht="15">
      <c r="C115" s="3"/>
      <c r="J115" s="169"/>
    </row>
    <row r="116" spans="3:10" ht="15">
      <c r="C116" s="3"/>
      <c r="J116" s="169"/>
    </row>
    <row r="117" spans="3:10" ht="15">
      <c r="C117" s="3"/>
      <c r="J117" s="169"/>
    </row>
    <row r="118" spans="3:10" ht="15">
      <c r="C118" s="3"/>
      <c r="J118" s="169"/>
    </row>
    <row r="119" spans="3:10" ht="15">
      <c r="C119" s="3"/>
      <c r="J119" s="169"/>
    </row>
    <row r="120" spans="3:10" ht="15">
      <c r="C120" s="3"/>
      <c r="J120" s="169"/>
    </row>
    <row r="121" spans="3:10" ht="15">
      <c r="C121" s="3"/>
      <c r="J121" s="169"/>
    </row>
    <row r="122" spans="3:10" ht="15">
      <c r="C122" s="3"/>
      <c r="J122" s="169"/>
    </row>
    <row r="123" spans="3:10" ht="15">
      <c r="C123" s="3"/>
      <c r="J123" s="169"/>
    </row>
    <row r="124" spans="3:10" ht="15">
      <c r="C124" s="3"/>
      <c r="J124" s="169"/>
    </row>
    <row r="125" spans="3:10" ht="15">
      <c r="C125" s="3"/>
      <c r="J125" s="169"/>
    </row>
    <row r="126" spans="3:10" ht="15">
      <c r="C126" s="3"/>
      <c r="J126" s="169"/>
    </row>
    <row r="127" spans="3:10" ht="15">
      <c r="C127" s="3"/>
      <c r="J127" s="169"/>
    </row>
    <row r="128" spans="3:10" ht="15">
      <c r="C128" s="3"/>
      <c r="J128" s="169"/>
    </row>
    <row r="129" spans="3:10" ht="15">
      <c r="C129" s="3"/>
      <c r="J129" s="169"/>
    </row>
    <row r="130" spans="3:10" ht="15">
      <c r="C130" s="3"/>
      <c r="J130" s="169"/>
    </row>
    <row r="131" spans="3:10" ht="15">
      <c r="C131" s="3"/>
      <c r="J131" s="169"/>
    </row>
    <row r="132" spans="3:10" ht="15">
      <c r="C132" s="3"/>
      <c r="J132" s="169"/>
    </row>
    <row r="133" spans="3:10" ht="15">
      <c r="C133" s="3"/>
      <c r="J133" s="169"/>
    </row>
    <row r="134" spans="3:10" ht="15">
      <c r="C134" s="3"/>
      <c r="J134" s="169"/>
    </row>
    <row r="135" spans="3:10" ht="15">
      <c r="C135" s="3"/>
      <c r="J135" s="169"/>
    </row>
    <row r="136" spans="3:10" ht="15">
      <c r="C136" s="3"/>
      <c r="J136" s="169"/>
    </row>
    <row r="137" spans="3:10" ht="15">
      <c r="C137" s="3"/>
      <c r="J137" s="169"/>
    </row>
    <row r="138" spans="3:10" ht="15">
      <c r="C138" s="3"/>
      <c r="J138" s="169"/>
    </row>
    <row r="139" spans="3:10" ht="15">
      <c r="C139" s="3"/>
      <c r="J139" s="169"/>
    </row>
    <row r="140" spans="3:10" ht="15">
      <c r="C140" s="3"/>
      <c r="J140" s="169"/>
    </row>
    <row r="141" spans="3:10" ht="15">
      <c r="C141" s="3"/>
      <c r="J141" s="169"/>
    </row>
    <row r="142" spans="3:10" ht="15">
      <c r="C142" s="3"/>
      <c r="J142" s="169"/>
    </row>
    <row r="143" spans="3:10" ht="15">
      <c r="C143" s="3"/>
      <c r="J143" s="169"/>
    </row>
    <row r="144" spans="3:10" ht="15">
      <c r="C144" s="3"/>
      <c r="J144" s="169"/>
    </row>
    <row r="145" spans="3:10" ht="15">
      <c r="C145" s="3"/>
      <c r="J145" s="169"/>
    </row>
    <row r="146" spans="3:10" ht="15">
      <c r="C146" s="3"/>
      <c r="J146" s="169"/>
    </row>
    <row r="147" spans="3:10" ht="15">
      <c r="C147" s="3"/>
      <c r="J147" s="169"/>
    </row>
    <row r="148" spans="3:10" ht="15">
      <c r="C148" s="3"/>
      <c r="J148" s="169"/>
    </row>
    <row r="149" spans="3:10" ht="15">
      <c r="C149" s="3"/>
      <c r="J149" s="169"/>
    </row>
    <row r="150" spans="3:10" ht="15">
      <c r="C150" s="3"/>
      <c r="J150" s="169"/>
    </row>
    <row r="151" spans="3:10" ht="15">
      <c r="C151" s="3"/>
      <c r="J151" s="169"/>
    </row>
    <row r="152" spans="3:10" ht="15">
      <c r="C152" s="3"/>
      <c r="J152" s="169"/>
    </row>
    <row r="153" spans="3:10" ht="15">
      <c r="C153" s="3"/>
      <c r="J153" s="169"/>
    </row>
    <row r="154" spans="3:10" ht="15">
      <c r="C154" s="3"/>
      <c r="J154" s="169"/>
    </row>
    <row r="155" spans="3:10" ht="15">
      <c r="C155" s="3"/>
      <c r="J155" s="169"/>
    </row>
    <row r="156" spans="3:10" ht="15">
      <c r="C156" s="3"/>
      <c r="J156" s="169"/>
    </row>
    <row r="157" spans="3:10" ht="15">
      <c r="C157" s="3"/>
      <c r="J157" s="169"/>
    </row>
    <row r="158" spans="3:10" ht="15">
      <c r="C158" s="3"/>
      <c r="J158" s="169"/>
    </row>
    <row r="159" spans="3:10" ht="15">
      <c r="C159" s="3"/>
      <c r="J159" s="169"/>
    </row>
    <row r="160" spans="3:10" ht="15">
      <c r="C160" s="3"/>
      <c r="J160" s="169"/>
    </row>
    <row r="161" spans="3:10" ht="15">
      <c r="C161" s="3"/>
      <c r="J161" s="169"/>
    </row>
    <row r="162" spans="3:10" ht="15">
      <c r="C162" s="3"/>
      <c r="J162" s="169"/>
    </row>
    <row r="163" spans="3:10" ht="15">
      <c r="C163" s="3"/>
      <c r="J163" s="169"/>
    </row>
    <row r="164" spans="3:10" ht="15">
      <c r="C164" s="3"/>
      <c r="J164" s="169"/>
    </row>
    <row r="165" spans="3:10" ht="15">
      <c r="C165" s="3"/>
      <c r="J165" s="169"/>
    </row>
    <row r="166" spans="3:10" ht="15">
      <c r="C166" s="3"/>
      <c r="J166" s="169"/>
    </row>
    <row r="167" spans="3:10" ht="15">
      <c r="C167" s="3"/>
      <c r="J167" s="169"/>
    </row>
    <row r="168" spans="3:10" ht="15">
      <c r="C168" s="3"/>
      <c r="J168" s="169"/>
    </row>
    <row r="169" spans="3:10" ht="15">
      <c r="C169" s="3"/>
      <c r="J169" s="169"/>
    </row>
    <row r="170" spans="3:10" ht="15">
      <c r="C170" s="3"/>
      <c r="J170" s="169"/>
    </row>
    <row r="171" spans="3:10" ht="15">
      <c r="C171" s="3"/>
      <c r="J171" s="169"/>
    </row>
    <row r="172" spans="3:10" ht="15">
      <c r="C172" s="3"/>
      <c r="J172" s="169"/>
    </row>
    <row r="173" spans="3:10" ht="15">
      <c r="C173" s="3"/>
      <c r="J173" s="169"/>
    </row>
    <row r="174" spans="3:10" ht="15">
      <c r="C174" s="3"/>
      <c r="J174" s="169"/>
    </row>
    <row r="175" spans="3:10" ht="15">
      <c r="C175" s="3"/>
      <c r="J175" s="169"/>
    </row>
    <row r="176" spans="3:10" ht="15">
      <c r="C176" s="3"/>
      <c r="J176" s="169"/>
    </row>
    <row r="177" spans="3:10" ht="15">
      <c r="C177" s="3"/>
      <c r="J177" s="169"/>
    </row>
    <row r="178" spans="3:10" ht="15">
      <c r="C178" s="3"/>
      <c r="J178" s="169"/>
    </row>
    <row r="179" spans="3:10" ht="15">
      <c r="C179" s="3"/>
      <c r="J179" s="169"/>
    </row>
    <row r="180" spans="3:10" ht="15">
      <c r="C180" s="3"/>
      <c r="J180" s="169"/>
    </row>
    <row r="181" spans="3:10" ht="15">
      <c r="C181" s="3"/>
      <c r="J181" s="169"/>
    </row>
    <row r="182" spans="3:10" ht="15">
      <c r="C182" s="3"/>
      <c r="J182" s="169"/>
    </row>
    <row r="183" spans="3:10" ht="15">
      <c r="C183" s="3"/>
      <c r="J183" s="169"/>
    </row>
    <row r="184" spans="3:10" ht="15">
      <c r="C184" s="3"/>
      <c r="J184" s="169"/>
    </row>
    <row r="185" spans="3:10" ht="15">
      <c r="C185" s="3"/>
      <c r="J185" s="169"/>
    </row>
    <row r="186" spans="3:10" ht="15">
      <c r="C186" s="3"/>
      <c r="J186" s="169"/>
    </row>
    <row r="187" spans="3:10" ht="15">
      <c r="C187" s="3"/>
      <c r="J187" s="169"/>
    </row>
    <row r="188" spans="3:10" ht="15">
      <c r="C188" s="3"/>
      <c r="J188" s="169"/>
    </row>
    <row r="189" spans="3:10" ht="15">
      <c r="C189" s="3"/>
      <c r="J189" s="169"/>
    </row>
    <row r="190" spans="3:10" ht="15">
      <c r="C190" s="3"/>
      <c r="J190" s="169"/>
    </row>
    <row r="191" spans="3:10" ht="15">
      <c r="C191" s="3"/>
      <c r="J191" s="169"/>
    </row>
    <row r="192" spans="3:10" ht="15">
      <c r="C192" s="3"/>
      <c r="J192" s="169"/>
    </row>
    <row r="193" spans="3:10" ht="15">
      <c r="C193" s="3"/>
      <c r="J193" s="169"/>
    </row>
    <row r="194" spans="3:10" ht="15">
      <c r="C194" s="3"/>
      <c r="J194" s="169"/>
    </row>
    <row r="195" spans="3:10" ht="15">
      <c r="C195" s="3"/>
      <c r="J195" s="169"/>
    </row>
    <row r="196" spans="3:10" ht="15">
      <c r="C196" s="3"/>
      <c r="J196" s="169"/>
    </row>
    <row r="197" spans="3:10" ht="15">
      <c r="C197" s="3"/>
      <c r="J197" s="169"/>
    </row>
    <row r="198" spans="3:10" ht="15">
      <c r="C198" s="3"/>
      <c r="J198" s="169"/>
    </row>
    <row r="199" spans="3:10" ht="15">
      <c r="C199" s="3"/>
      <c r="J199" s="169"/>
    </row>
    <row r="200" spans="3:10" ht="15">
      <c r="C200" s="3"/>
      <c r="J200" s="169"/>
    </row>
    <row r="201" spans="3:10" ht="15">
      <c r="C201" s="3"/>
      <c r="J201" s="169"/>
    </row>
    <row r="202" spans="3:10" ht="15">
      <c r="C202" s="3"/>
      <c r="J202" s="169"/>
    </row>
    <row r="203" spans="3:10" ht="15">
      <c r="C203" s="3"/>
      <c r="J203" s="169"/>
    </row>
    <row r="204" spans="3:10" ht="15">
      <c r="C204" s="3"/>
      <c r="J204" s="169"/>
    </row>
    <row r="205" spans="3:10" ht="15">
      <c r="C205" s="3"/>
      <c r="J205" s="169"/>
    </row>
    <row r="206" spans="3:10" ht="15">
      <c r="C206" s="3"/>
      <c r="J206" s="169"/>
    </row>
    <row r="207" spans="3:10" ht="15">
      <c r="C207" s="3"/>
      <c r="J207" s="169"/>
    </row>
    <row r="208" spans="3:10" ht="15">
      <c r="C208" s="3"/>
      <c r="J208" s="169"/>
    </row>
    <row r="209" spans="3:10" ht="15">
      <c r="C209" s="3"/>
      <c r="J209" s="169"/>
    </row>
    <row r="210" spans="3:10" ht="15">
      <c r="C210" s="3"/>
      <c r="J210" s="169"/>
    </row>
    <row r="211" spans="3:10" ht="15">
      <c r="C211" s="3"/>
      <c r="J211" s="169"/>
    </row>
    <row r="212" spans="3:10" ht="15">
      <c r="C212" s="3"/>
      <c r="J212" s="169"/>
    </row>
    <row r="213" spans="3:10" ht="15">
      <c r="C213" s="3"/>
      <c r="J213" s="169"/>
    </row>
    <row r="214" spans="3:10" ht="15">
      <c r="C214" s="3"/>
      <c r="J214" s="169"/>
    </row>
    <row r="215" spans="3:10" ht="15">
      <c r="C215" s="3"/>
      <c r="J215" s="169"/>
    </row>
    <row r="216" spans="3:10" ht="15">
      <c r="C216" s="3"/>
      <c r="J216" s="169"/>
    </row>
    <row r="217" spans="3:10" ht="15">
      <c r="C217" s="3"/>
      <c r="J217" s="169"/>
    </row>
    <row r="218" spans="3:10" ht="15">
      <c r="C218" s="3"/>
      <c r="J218" s="169"/>
    </row>
    <row r="219" spans="3:10" ht="15">
      <c r="C219" s="3"/>
      <c r="J219" s="169"/>
    </row>
    <row r="220" spans="3:10" ht="15">
      <c r="C220" s="3"/>
      <c r="J220" s="169"/>
    </row>
    <row r="221" spans="3:10" ht="15">
      <c r="C221" s="3"/>
      <c r="J221" s="169"/>
    </row>
    <row r="222" spans="3:10" ht="15">
      <c r="C222" s="3"/>
      <c r="J222" s="169"/>
    </row>
    <row r="223" spans="3:10" ht="15">
      <c r="C223" s="3"/>
      <c r="J223" s="169"/>
    </row>
    <row r="224" spans="3:10" ht="15">
      <c r="C224" s="3"/>
      <c r="J224" s="169"/>
    </row>
    <row r="225" spans="3:10" ht="15">
      <c r="C225" s="3"/>
      <c r="J225" s="169"/>
    </row>
    <row r="226" spans="3:10" ht="15">
      <c r="C226" s="3"/>
      <c r="J226" s="169"/>
    </row>
    <row r="227" spans="3:10" ht="15">
      <c r="C227" s="3"/>
      <c r="J227" s="169"/>
    </row>
    <row r="228" spans="3:10" ht="15">
      <c r="C228" s="3"/>
      <c r="J228" s="169"/>
    </row>
    <row r="229" spans="3:10" ht="15">
      <c r="C229" s="3"/>
      <c r="J229" s="169"/>
    </row>
    <row r="230" spans="3:10" ht="15">
      <c r="C230" s="3"/>
      <c r="J230" s="169"/>
    </row>
    <row r="231" spans="3:10" ht="15">
      <c r="C231" s="3"/>
      <c r="J231" s="169"/>
    </row>
    <row r="232" spans="3:10" ht="15">
      <c r="C232" s="3"/>
      <c r="J232" s="169"/>
    </row>
    <row r="233" spans="3:10" ht="15">
      <c r="C233" s="3"/>
      <c r="J233" s="169"/>
    </row>
    <row r="234" spans="3:10" ht="15">
      <c r="C234" s="3"/>
      <c r="J234" s="169"/>
    </row>
    <row r="235" spans="3:10" ht="15">
      <c r="C235" s="3"/>
      <c r="J235" s="169"/>
    </row>
    <row r="236" spans="3:10" ht="15">
      <c r="C236" s="3"/>
      <c r="J236" s="169"/>
    </row>
    <row r="237" spans="3:10" ht="15">
      <c r="C237" s="3"/>
      <c r="J237" s="169"/>
    </row>
    <row r="238" spans="3:10" ht="15">
      <c r="C238" s="3"/>
      <c r="J238" s="169"/>
    </row>
    <row r="239" spans="3:10" ht="15">
      <c r="C239" s="3"/>
      <c r="J239" s="169"/>
    </row>
    <row r="240" spans="3:10" ht="15">
      <c r="C240" s="3"/>
      <c r="J240" s="169"/>
    </row>
    <row r="241" spans="3:10" ht="15">
      <c r="C241" s="3"/>
      <c r="J241" s="169"/>
    </row>
    <row r="242" spans="3:10" ht="15">
      <c r="C242" s="3"/>
      <c r="J242" s="169"/>
    </row>
    <row r="243" spans="3:10" ht="15">
      <c r="C243" s="3"/>
      <c r="J243" s="169"/>
    </row>
    <row r="244" spans="3:10" ht="15">
      <c r="C244" s="3"/>
      <c r="J244" s="169"/>
    </row>
    <row r="245" spans="3:10" ht="15">
      <c r="C245" s="3"/>
      <c r="J245" s="169"/>
    </row>
    <row r="246" spans="3:10" ht="15">
      <c r="C246" s="3"/>
      <c r="J246" s="169"/>
    </row>
    <row r="247" spans="3:10" ht="15">
      <c r="C247" s="3"/>
      <c r="J247" s="169"/>
    </row>
    <row r="248" spans="3:10" ht="15">
      <c r="C248" s="3"/>
      <c r="J248" s="169"/>
    </row>
    <row r="249" spans="3:10" ht="15">
      <c r="C249" s="3"/>
      <c r="J249" s="169"/>
    </row>
    <row r="250" spans="3:10" ht="15">
      <c r="C250" s="3"/>
      <c r="J250" s="169"/>
    </row>
    <row r="251" spans="3:10" ht="15">
      <c r="C251" s="3"/>
      <c r="J251" s="169"/>
    </row>
    <row r="252" spans="3:10" ht="15">
      <c r="C252" s="3"/>
      <c r="J252" s="169"/>
    </row>
    <row r="253" spans="3:10" ht="15">
      <c r="C253" s="3"/>
      <c r="J253" s="169"/>
    </row>
    <row r="254" spans="3:10" ht="15">
      <c r="C254" s="3"/>
      <c r="J254" s="169"/>
    </row>
    <row r="255" spans="3:10" ht="15">
      <c r="C255" s="3"/>
      <c r="J255" s="169"/>
    </row>
    <row r="256" spans="3:10" ht="15">
      <c r="C256" s="3"/>
      <c r="J256" s="169"/>
    </row>
    <row r="257" spans="3:10" ht="15">
      <c r="C257" s="3"/>
      <c r="J257" s="169"/>
    </row>
    <row r="258" spans="3:10" ht="15">
      <c r="C258" s="3"/>
      <c r="J258" s="169"/>
    </row>
    <row r="259" spans="3:10" ht="15">
      <c r="C259" s="3"/>
      <c r="J259" s="169"/>
    </row>
    <row r="260" spans="3:10" ht="15">
      <c r="C260" s="3"/>
      <c r="J260" s="169"/>
    </row>
    <row r="261" spans="3:10" ht="15">
      <c r="C261" s="3"/>
      <c r="J261" s="169"/>
    </row>
    <row r="262" spans="3:10" ht="15">
      <c r="C262" s="3"/>
      <c r="J262" s="169"/>
    </row>
    <row r="263" spans="3:10" ht="15">
      <c r="C263" s="3"/>
      <c r="J263" s="169"/>
    </row>
    <row r="264" spans="3:10" ht="15">
      <c r="C264" s="3"/>
      <c r="J264" s="169"/>
    </row>
    <row r="265" spans="3:10" ht="15">
      <c r="C265" s="3"/>
      <c r="J265" s="169"/>
    </row>
    <row r="266" spans="3:10" ht="15">
      <c r="C266" s="3"/>
      <c r="J266" s="169"/>
    </row>
    <row r="267" spans="3:10" ht="15">
      <c r="C267" s="3"/>
      <c r="J267" s="169"/>
    </row>
    <row r="268" spans="3:10" ht="15">
      <c r="C268" s="3"/>
      <c r="J268" s="169"/>
    </row>
    <row r="269" spans="3:10" ht="15">
      <c r="C269" s="3"/>
      <c r="J269" s="169"/>
    </row>
    <row r="270" spans="3:10" ht="15">
      <c r="C270" s="3"/>
      <c r="J270" s="169"/>
    </row>
    <row r="271" spans="3:10" ht="15">
      <c r="C271" s="3"/>
      <c r="J271" s="169"/>
    </row>
    <row r="272" spans="3:10" ht="15">
      <c r="C272" s="3"/>
      <c r="J272" s="169"/>
    </row>
    <row r="273" spans="3:10" ht="15">
      <c r="C273" s="3"/>
      <c r="J273" s="169"/>
    </row>
    <row r="274" spans="3:10" ht="15">
      <c r="C274" s="3"/>
      <c r="J274" s="169"/>
    </row>
    <row r="275" spans="3:10" ht="15">
      <c r="C275" s="3"/>
      <c r="J275" s="169"/>
    </row>
    <row r="276" spans="3:10" ht="15">
      <c r="C276" s="3"/>
      <c r="J276" s="169"/>
    </row>
    <row r="277" spans="3:10" ht="15">
      <c r="C277" s="3"/>
      <c r="J277" s="169"/>
    </row>
    <row r="278" spans="3:10" ht="15">
      <c r="C278" s="3"/>
      <c r="J278" s="169"/>
    </row>
    <row r="279" spans="3:10" ht="15">
      <c r="C279" s="3"/>
      <c r="J279" s="169"/>
    </row>
    <row r="280" spans="3:10" ht="15">
      <c r="C280" s="3"/>
      <c r="J280" s="169"/>
    </row>
    <row r="281" spans="3:10" ht="15">
      <c r="C281" s="3"/>
      <c r="J281" s="169"/>
    </row>
    <row r="282" spans="3:10" ht="15">
      <c r="C282" s="3"/>
      <c r="J282" s="169"/>
    </row>
    <row r="283" spans="3:10" ht="15">
      <c r="C283" s="3"/>
      <c r="J283" s="169"/>
    </row>
    <row r="284" spans="3:10" ht="15">
      <c r="C284" s="3"/>
      <c r="J284" s="169"/>
    </row>
    <row r="285" spans="3:10" ht="15">
      <c r="C285" s="3"/>
      <c r="J285" s="169"/>
    </row>
    <row r="286" spans="3:10" ht="15">
      <c r="C286" s="3"/>
      <c r="J286" s="169"/>
    </row>
    <row r="287" spans="3:10" ht="15">
      <c r="C287" s="3"/>
      <c r="J287" s="169"/>
    </row>
    <row r="288" spans="3:10" ht="15">
      <c r="C288" s="3"/>
      <c r="J288" s="169"/>
    </row>
    <row r="289" spans="3:10" ht="15">
      <c r="C289" s="3"/>
      <c r="J289" s="169"/>
    </row>
    <row r="290" spans="3:10" ht="15">
      <c r="C290" s="3"/>
      <c r="J290" s="169"/>
    </row>
    <row r="291" spans="3:10" ht="15">
      <c r="C291" s="3"/>
      <c r="J291" s="169"/>
    </row>
    <row r="292" spans="3:10" ht="15">
      <c r="C292" s="3"/>
      <c r="J292" s="169"/>
    </row>
    <row r="293" spans="3:10" ht="15">
      <c r="C293" s="3"/>
      <c r="J293" s="169"/>
    </row>
    <row r="294" spans="3:10" ht="15">
      <c r="C294" s="3"/>
      <c r="J294" s="169"/>
    </row>
    <row r="295" spans="3:10" ht="15">
      <c r="C295" s="3"/>
      <c r="J295" s="169"/>
    </row>
    <row r="296" spans="3:10" ht="15">
      <c r="C296" s="3"/>
      <c r="J296" s="169"/>
    </row>
    <row r="297" spans="3:10" ht="15">
      <c r="C297" s="3"/>
      <c r="J297" s="169"/>
    </row>
    <row r="298" spans="3:10" ht="15">
      <c r="C298" s="3"/>
      <c r="J298" s="169"/>
    </row>
    <row r="299" spans="3:10" ht="15">
      <c r="C299" s="3"/>
      <c r="J299" s="169"/>
    </row>
    <row r="300" spans="3:10" ht="15">
      <c r="C300" s="3"/>
      <c r="J300" s="169"/>
    </row>
    <row r="301" spans="3:10" ht="15">
      <c r="C301" s="3"/>
      <c r="J301" s="169"/>
    </row>
    <row r="302" spans="3:10" ht="15">
      <c r="C302" s="3"/>
      <c r="J302" s="169"/>
    </row>
    <row r="303" spans="3:10" ht="15">
      <c r="C303" s="3"/>
      <c r="J303" s="169"/>
    </row>
    <row r="304" spans="3:10" ht="15">
      <c r="C304" s="3"/>
      <c r="J304" s="169"/>
    </row>
    <row r="305" spans="3:10" ht="15">
      <c r="C305" s="3"/>
      <c r="J305" s="169"/>
    </row>
    <row r="306" spans="3:10" ht="15">
      <c r="C306" s="3"/>
      <c r="J306" s="169"/>
    </row>
    <row r="307" spans="3:10" ht="15">
      <c r="C307" s="3"/>
      <c r="J307" s="169"/>
    </row>
    <row r="308" spans="3:10" ht="15">
      <c r="C308" s="3"/>
      <c r="J308" s="169"/>
    </row>
    <row r="309" spans="3:10" ht="15">
      <c r="C309" s="3"/>
      <c r="J309" s="169"/>
    </row>
    <row r="310" spans="3:10" ht="15">
      <c r="C310" s="3"/>
      <c r="J310" s="169"/>
    </row>
    <row r="311" spans="3:10" ht="15">
      <c r="C311" s="3"/>
      <c r="J311" s="169"/>
    </row>
    <row r="312" spans="3:10" ht="15">
      <c r="C312" s="3"/>
      <c r="J312" s="169"/>
    </row>
    <row r="313" spans="3:10" ht="15">
      <c r="C313" s="3"/>
      <c r="J313" s="169"/>
    </row>
    <row r="314" spans="3:10" ht="15">
      <c r="C314" s="3"/>
      <c r="J314" s="169"/>
    </row>
    <row r="315" spans="3:10" ht="15">
      <c r="C315" s="3"/>
      <c r="J315" s="169"/>
    </row>
    <row r="316" spans="3:10" ht="15">
      <c r="C316" s="3"/>
      <c r="J316" s="169"/>
    </row>
    <row r="317" spans="3:10" ht="15">
      <c r="C317" s="3"/>
      <c r="J317" s="169"/>
    </row>
    <row r="318" spans="3:10" ht="15">
      <c r="C318" s="3"/>
      <c r="J318" s="169"/>
    </row>
    <row r="319" spans="3:10" ht="15">
      <c r="C319" s="3"/>
      <c r="J319" s="169"/>
    </row>
    <row r="320" spans="3:10" ht="15">
      <c r="C320" s="3"/>
      <c r="J320" s="169"/>
    </row>
    <row r="321" spans="3:10" ht="15">
      <c r="C321" s="3"/>
      <c r="J321" s="169"/>
    </row>
    <row r="322" spans="3:10" ht="15">
      <c r="C322" s="3"/>
      <c r="J322" s="169"/>
    </row>
    <row r="323" spans="3:10" ht="15">
      <c r="C323" s="3"/>
      <c r="J323" s="169"/>
    </row>
    <row r="324" spans="3:10" ht="15">
      <c r="C324" s="3"/>
      <c r="J324" s="169"/>
    </row>
    <row r="325" spans="3:10" ht="15">
      <c r="C325" s="3"/>
      <c r="J325" s="169"/>
    </row>
    <row r="326" spans="3:10" ht="15">
      <c r="C326" s="3"/>
      <c r="J326" s="169"/>
    </row>
    <row r="327" spans="3:10" ht="15">
      <c r="C327" s="3"/>
      <c r="J327" s="169"/>
    </row>
    <row r="328" spans="3:10" ht="15">
      <c r="C328" s="3"/>
      <c r="J328" s="169"/>
    </row>
    <row r="329" spans="3:10" ht="15">
      <c r="C329" s="3"/>
      <c r="J329" s="169"/>
    </row>
    <row r="330" spans="3:10" ht="15">
      <c r="C330" s="3"/>
      <c r="J330" s="169"/>
    </row>
    <row r="331" spans="3:10" ht="15">
      <c r="C331" s="3"/>
      <c r="J331" s="169"/>
    </row>
    <row r="332" spans="3:10" ht="15">
      <c r="C332" s="3"/>
      <c r="J332" s="169"/>
    </row>
    <row r="333" spans="3:10" ht="15">
      <c r="C333" s="3"/>
      <c r="J333" s="169"/>
    </row>
    <row r="334" spans="3:10" ht="15">
      <c r="C334" s="3"/>
      <c r="J334" s="169"/>
    </row>
    <row r="335" spans="3:10" ht="15">
      <c r="C335" s="3"/>
      <c r="J335" s="169"/>
    </row>
    <row r="336" spans="3:10" ht="15">
      <c r="C336" s="3"/>
      <c r="J336" s="169"/>
    </row>
    <row r="337" spans="3:10" ht="15">
      <c r="C337" s="3"/>
      <c r="J337" s="169"/>
    </row>
    <row r="338" spans="3:10" ht="15">
      <c r="C338" s="3"/>
      <c r="J338" s="169"/>
    </row>
    <row r="339" spans="3:10" ht="15">
      <c r="C339" s="3"/>
      <c r="J339" s="169"/>
    </row>
    <row r="340" spans="3:10" ht="15">
      <c r="C340" s="3"/>
      <c r="J340" s="169"/>
    </row>
    <row r="341" spans="3:10" ht="15">
      <c r="C341" s="3"/>
      <c r="J341" s="169"/>
    </row>
    <row r="342" spans="3:10" ht="15">
      <c r="C342" s="3"/>
      <c r="J342" s="169"/>
    </row>
    <row r="343" spans="3:10" ht="15">
      <c r="C343" s="3"/>
      <c r="J343" s="169"/>
    </row>
    <row r="344" spans="3:10" ht="15">
      <c r="C344" s="3"/>
      <c r="J344" s="169"/>
    </row>
    <row r="345" spans="3:10" ht="15">
      <c r="C345" s="3"/>
      <c r="J345" s="169"/>
    </row>
    <row r="346" spans="3:10" ht="15">
      <c r="C346" s="3"/>
      <c r="J346" s="169"/>
    </row>
    <row r="347" spans="3:10" ht="15">
      <c r="C347" s="3"/>
      <c r="J347" s="169"/>
    </row>
    <row r="348" spans="3:10" ht="15">
      <c r="C348" s="3"/>
      <c r="J348" s="169"/>
    </row>
    <row r="349" spans="3:10" ht="15">
      <c r="C349" s="3"/>
      <c r="J349" s="169"/>
    </row>
    <row r="350" spans="3:10" ht="15">
      <c r="C350" s="3"/>
      <c r="J350" s="169"/>
    </row>
    <row r="351" spans="3:10" ht="15">
      <c r="C351" s="3"/>
      <c r="J351" s="169"/>
    </row>
    <row r="352" spans="3:10" ht="15">
      <c r="C352" s="3"/>
      <c r="J352" s="169"/>
    </row>
    <row r="353" spans="3:10" ht="15">
      <c r="C353" s="3"/>
      <c r="J353" s="169"/>
    </row>
    <row r="354" spans="3:10" ht="15">
      <c r="C354" s="3"/>
      <c r="J354" s="169"/>
    </row>
    <row r="355" spans="3:10" ht="15">
      <c r="C355" s="3"/>
      <c r="J355" s="169"/>
    </row>
    <row r="356" spans="3:10" ht="15">
      <c r="C356" s="3"/>
      <c r="J356" s="169"/>
    </row>
    <row r="357" spans="3:10" ht="15">
      <c r="C357" s="3"/>
      <c r="J357" s="169"/>
    </row>
    <row r="358" spans="3:10" ht="15">
      <c r="C358" s="3"/>
      <c r="J358" s="169"/>
    </row>
    <row r="359" spans="3:10" ht="15">
      <c r="C359" s="3"/>
      <c r="J359" s="169"/>
    </row>
    <row r="360" spans="3:10" ht="15">
      <c r="C360" s="3"/>
      <c r="J360" s="169"/>
    </row>
    <row r="361" spans="3:10" ht="15">
      <c r="C361" s="3"/>
      <c r="J361" s="169"/>
    </row>
    <row r="362" spans="3:10" ht="15">
      <c r="C362" s="3"/>
      <c r="J362" s="169"/>
    </row>
    <row r="363" spans="3:10" ht="15">
      <c r="C363" s="3"/>
      <c r="J363" s="169"/>
    </row>
    <row r="364" spans="3:10" ht="15">
      <c r="C364" s="3"/>
      <c r="J364" s="169"/>
    </row>
    <row r="365" spans="3:10" ht="15">
      <c r="C365" s="3"/>
      <c r="J365" s="169"/>
    </row>
    <row r="366" spans="3:10" ht="15">
      <c r="C366" s="3"/>
      <c r="J366" s="169"/>
    </row>
    <row r="367" spans="3:10" ht="15">
      <c r="C367" s="3"/>
      <c r="J367" s="169"/>
    </row>
    <row r="368" spans="3:10" ht="15">
      <c r="C368" s="3"/>
      <c r="J368" s="169"/>
    </row>
    <row r="369" spans="3:10" ht="15">
      <c r="C369" s="3"/>
      <c r="J369" s="169"/>
    </row>
    <row r="370" spans="3:10" ht="15">
      <c r="C370" s="3"/>
      <c r="J370" s="169"/>
    </row>
    <row r="371" spans="3:10" ht="15">
      <c r="C371" s="3"/>
      <c r="J371" s="169"/>
    </row>
    <row r="372" spans="3:10" ht="15">
      <c r="C372" s="3"/>
      <c r="J372" s="169"/>
    </row>
    <row r="373" spans="3:10" ht="15">
      <c r="C373" s="3"/>
      <c r="J373" s="169"/>
    </row>
    <row r="374" spans="3:10" ht="15">
      <c r="C374" s="3"/>
      <c r="J374" s="169"/>
    </row>
    <row r="375" spans="3:10" ht="15">
      <c r="C375" s="3"/>
      <c r="J375" s="169"/>
    </row>
    <row r="376" spans="3:10" ht="15">
      <c r="C376" s="3"/>
      <c r="J376" s="169"/>
    </row>
    <row r="377" spans="3:10" ht="15">
      <c r="C377" s="3"/>
      <c r="J377" s="169"/>
    </row>
    <row r="378" spans="3:10" ht="15">
      <c r="C378" s="3"/>
      <c r="J378" s="169"/>
    </row>
    <row r="379" spans="3:10" ht="15">
      <c r="C379" s="3"/>
      <c r="J379" s="169"/>
    </row>
    <row r="380" spans="3:10" ht="15">
      <c r="C380" s="3"/>
      <c r="J380" s="169"/>
    </row>
    <row r="381" spans="3:10" ht="15">
      <c r="C381" s="3"/>
      <c r="J381" s="169"/>
    </row>
    <row r="382" spans="3:10" ht="15">
      <c r="C382" s="3"/>
      <c r="J382" s="169"/>
    </row>
    <row r="383" spans="3:10" ht="15">
      <c r="C383" s="3"/>
      <c r="J383" s="169"/>
    </row>
    <row r="384" spans="3:10" ht="15">
      <c r="C384" s="3"/>
      <c r="J384" s="169"/>
    </row>
    <row r="385" spans="3:10" ht="15">
      <c r="C385" s="3"/>
      <c r="J385" s="169"/>
    </row>
    <row r="386" spans="3:10" ht="15">
      <c r="C386" s="3"/>
      <c r="J386" s="169"/>
    </row>
    <row r="387" spans="3:10" ht="15">
      <c r="C387" s="3"/>
      <c r="J387" s="169"/>
    </row>
    <row r="388" spans="3:10" ht="15">
      <c r="C388" s="3"/>
      <c r="J388" s="169"/>
    </row>
    <row r="389" spans="3:10" ht="15">
      <c r="C389" s="3"/>
      <c r="J389" s="169"/>
    </row>
    <row r="390" spans="3:10" ht="15">
      <c r="C390" s="3"/>
      <c r="J390" s="169"/>
    </row>
    <row r="391" spans="3:10" ht="15">
      <c r="C391" s="3"/>
      <c r="J391" s="169"/>
    </row>
    <row r="392" spans="3:10" ht="15">
      <c r="C392" s="3"/>
      <c r="J392" s="169"/>
    </row>
    <row r="393" spans="3:10" ht="15">
      <c r="C393" s="3"/>
      <c r="J393" s="169"/>
    </row>
    <row r="394" spans="3:10" ht="15">
      <c r="C394" s="3"/>
      <c r="J394" s="169"/>
    </row>
    <row r="395" spans="3:10" ht="15">
      <c r="C395" s="3"/>
      <c r="J395" s="169"/>
    </row>
    <row r="396" spans="3:10" ht="15">
      <c r="C396" s="3"/>
      <c r="J396" s="169"/>
    </row>
    <row r="397" spans="3:10" ht="15">
      <c r="C397" s="3"/>
      <c r="J397" s="169"/>
    </row>
    <row r="398" spans="3:10" ht="15">
      <c r="C398" s="3"/>
      <c r="J398" s="169"/>
    </row>
    <row r="399" spans="3:10" ht="15">
      <c r="C399" s="3"/>
      <c r="J399" s="169"/>
    </row>
    <row r="400" spans="3:10" ht="15">
      <c r="C400" s="3"/>
      <c r="J400" s="169"/>
    </row>
    <row r="401" spans="3:10" ht="15">
      <c r="C401" s="3"/>
      <c r="J401" s="169"/>
    </row>
    <row r="402" spans="3:10" ht="15">
      <c r="C402" s="3"/>
      <c r="J402" s="169"/>
    </row>
    <row r="403" spans="3:10" ht="15">
      <c r="C403" s="3"/>
      <c r="J403" s="169"/>
    </row>
    <row r="404" spans="3:10" ht="15">
      <c r="C404" s="3"/>
      <c r="J404" s="169"/>
    </row>
    <row r="405" spans="3:10" ht="15">
      <c r="C405" s="3"/>
      <c r="J405" s="169"/>
    </row>
    <row r="406" spans="3:10" ht="15">
      <c r="C406" s="3"/>
      <c r="J406" s="169"/>
    </row>
    <row r="407" spans="3:10" ht="15">
      <c r="C407" s="3"/>
      <c r="J407" s="169"/>
    </row>
    <row r="408" spans="3:10" ht="15">
      <c r="C408" s="3"/>
      <c r="J408" s="169"/>
    </row>
    <row r="409" spans="3:10" ht="15">
      <c r="C409" s="3"/>
      <c r="J409" s="169"/>
    </row>
    <row r="410" spans="3:10" ht="15">
      <c r="C410" s="3"/>
      <c r="J410" s="169"/>
    </row>
    <row r="411" spans="3:10" ht="15">
      <c r="C411" s="3"/>
      <c r="J411" s="169"/>
    </row>
    <row r="412" spans="3:10" ht="15">
      <c r="C412" s="3"/>
      <c r="J412" s="169"/>
    </row>
    <row r="413" spans="3:10" ht="15">
      <c r="C413" s="3"/>
      <c r="J413" s="169"/>
    </row>
    <row r="414" spans="3:10" ht="15">
      <c r="C414" s="3"/>
      <c r="J414" s="169"/>
    </row>
    <row r="415" spans="3:10" ht="15">
      <c r="C415" s="3"/>
      <c r="J415" s="169"/>
    </row>
    <row r="416" spans="3:10" ht="15">
      <c r="C416" s="3"/>
      <c r="J416" s="169"/>
    </row>
    <row r="417" spans="3:10" ht="15">
      <c r="C417" s="3"/>
      <c r="J417" s="169"/>
    </row>
    <row r="418" spans="3:10" ht="15">
      <c r="C418" s="3"/>
      <c r="J418" s="169"/>
    </row>
    <row r="419" spans="3:10" ht="15">
      <c r="C419" s="3"/>
      <c r="J419" s="169"/>
    </row>
    <row r="420" spans="3:10" ht="15">
      <c r="C420" s="3"/>
      <c r="J420" s="169"/>
    </row>
    <row r="421" spans="3:10" ht="15">
      <c r="C421" s="3"/>
      <c r="J421" s="169"/>
    </row>
    <row r="422" spans="3:10" ht="15">
      <c r="C422" s="3"/>
      <c r="J422" s="169"/>
    </row>
    <row r="423" spans="3:10" ht="15">
      <c r="C423" s="3"/>
      <c r="J423" s="169"/>
    </row>
    <row r="424" spans="3:10" ht="15">
      <c r="C424" s="3"/>
      <c r="J424" s="169"/>
    </row>
    <row r="425" spans="3:10" ht="15">
      <c r="C425" s="3"/>
      <c r="J425" s="169"/>
    </row>
    <row r="426" spans="3:10" ht="15">
      <c r="C426" s="3"/>
      <c r="J426" s="169"/>
    </row>
    <row r="427" spans="3:10" ht="15">
      <c r="C427" s="3"/>
      <c r="J427" s="169"/>
    </row>
    <row r="428" spans="3:10" ht="15">
      <c r="C428" s="3"/>
      <c r="J428" s="169"/>
    </row>
    <row r="429" spans="3:10" ht="15">
      <c r="C429" s="3"/>
      <c r="J429" s="169"/>
    </row>
    <row r="430" spans="3:10" ht="15">
      <c r="C430" s="3"/>
      <c r="J430" s="169"/>
    </row>
    <row r="431" spans="3:10" ht="15">
      <c r="C431" s="3"/>
      <c r="J431" s="169"/>
    </row>
    <row r="432" spans="3:10" ht="15">
      <c r="C432" s="3"/>
      <c r="J432" s="169"/>
    </row>
    <row r="433" spans="3:10" ht="15">
      <c r="C433" s="3"/>
      <c r="J433" s="169"/>
    </row>
    <row r="434" spans="3:10" ht="15">
      <c r="C434" s="3"/>
      <c r="J434" s="169"/>
    </row>
    <row r="435" spans="3:10" ht="15">
      <c r="C435" s="3"/>
      <c r="J435" s="169"/>
    </row>
    <row r="436" spans="3:10" ht="15">
      <c r="C436" s="3"/>
      <c r="J436" s="169"/>
    </row>
    <row r="437" spans="3:10" ht="15">
      <c r="C437" s="3"/>
      <c r="J437" s="169"/>
    </row>
    <row r="438" spans="3:10" ht="15">
      <c r="C438" s="3"/>
      <c r="J438" s="169"/>
    </row>
    <row r="439" spans="3:10" ht="15">
      <c r="C439" s="3"/>
      <c r="J439" s="169"/>
    </row>
    <row r="440" spans="3:10" ht="15">
      <c r="C440" s="3"/>
      <c r="J440" s="169"/>
    </row>
    <row r="441" spans="3:10" ht="15">
      <c r="C441" s="3"/>
      <c r="J441" s="169"/>
    </row>
    <row r="442" spans="3:10" ht="15">
      <c r="C442" s="3"/>
      <c r="J442" s="169"/>
    </row>
    <row r="443" spans="3:10" ht="15">
      <c r="C443" s="3"/>
      <c r="J443" s="169"/>
    </row>
    <row r="444" spans="3:10" ht="15">
      <c r="C444" s="3"/>
      <c r="J444" s="169"/>
    </row>
    <row r="445" spans="3:10" ht="15">
      <c r="C445" s="3"/>
      <c r="J445" s="169"/>
    </row>
    <row r="446" spans="3:10" ht="15">
      <c r="C446" s="3"/>
      <c r="J446" s="169"/>
    </row>
    <row r="447" spans="3:10" ht="15">
      <c r="C447" s="3"/>
      <c r="J447" s="169"/>
    </row>
    <row r="448" spans="3:10" ht="15">
      <c r="C448" s="3"/>
      <c r="J448" s="169"/>
    </row>
    <row r="449" spans="3:10" ht="15">
      <c r="C449" s="3"/>
      <c r="J449" s="169"/>
    </row>
    <row r="450" spans="3:10" ht="15">
      <c r="C450" s="3"/>
      <c r="J450" s="169"/>
    </row>
    <row r="451" spans="3:10" ht="15">
      <c r="C451" s="3"/>
      <c r="J451" s="169"/>
    </row>
    <row r="452" spans="3:10" ht="15">
      <c r="C452" s="3"/>
      <c r="J452" s="169"/>
    </row>
    <row r="453" spans="3:10" ht="15">
      <c r="C453" s="3"/>
      <c r="J453" s="169"/>
    </row>
    <row r="454" spans="3:10" ht="15">
      <c r="C454" s="3"/>
      <c r="J454" s="169"/>
    </row>
    <row r="455" spans="3:10" ht="15">
      <c r="C455" s="3"/>
      <c r="J455" s="169"/>
    </row>
    <row r="456" spans="3:10" ht="15">
      <c r="C456" s="3"/>
      <c r="J456" s="169"/>
    </row>
    <row r="457" spans="3:10" ht="15">
      <c r="C457" s="3"/>
      <c r="J457" s="169"/>
    </row>
    <row r="458" spans="3:10" ht="15">
      <c r="C458" s="3"/>
      <c r="J458" s="169"/>
    </row>
    <row r="459" spans="3:10" ht="15">
      <c r="C459" s="3"/>
      <c r="J459" s="169"/>
    </row>
    <row r="460" spans="3:10" ht="15">
      <c r="C460" s="3"/>
      <c r="J460" s="169"/>
    </row>
    <row r="461" spans="3:10" ht="15">
      <c r="C461" s="3"/>
      <c r="J461" s="169"/>
    </row>
    <row r="462" spans="3:10" ht="15">
      <c r="C462" s="3"/>
      <c r="J462" s="169"/>
    </row>
    <row r="463" spans="3:10" ht="15">
      <c r="C463" s="3"/>
      <c r="J463" s="169"/>
    </row>
    <row r="464" spans="3:10" ht="15">
      <c r="C464" s="3"/>
      <c r="J464" s="169"/>
    </row>
    <row r="465" spans="3:10" ht="15">
      <c r="C465" s="3"/>
      <c r="J465" s="169"/>
    </row>
    <row r="466" spans="3:10" ht="15">
      <c r="C466" s="3"/>
      <c r="J466" s="169"/>
    </row>
    <row r="467" spans="3:10" ht="15">
      <c r="C467" s="3"/>
      <c r="J467" s="169"/>
    </row>
    <row r="468" spans="3:10" ht="15">
      <c r="C468" s="3"/>
      <c r="J468" s="169"/>
    </row>
    <row r="469" spans="3:10" ht="15">
      <c r="C469" s="3"/>
      <c r="J469" s="169"/>
    </row>
    <row r="470" spans="3:10" ht="15">
      <c r="C470" s="3"/>
      <c r="J470" s="169"/>
    </row>
    <row r="471" spans="3:10" ht="15">
      <c r="C471" s="3"/>
      <c r="J471" s="169"/>
    </row>
    <row r="472" spans="3:10" ht="15">
      <c r="C472" s="3"/>
      <c r="J472" s="169"/>
    </row>
    <row r="473" spans="3:10" ht="15">
      <c r="C473" s="3"/>
      <c r="J473" s="169"/>
    </row>
    <row r="474" spans="3:10" ht="15">
      <c r="C474" s="3"/>
      <c r="J474" s="169"/>
    </row>
    <row r="475" spans="3:10" ht="15">
      <c r="C475" s="3"/>
      <c r="J475" s="169"/>
    </row>
    <row r="476" spans="3:10" ht="15">
      <c r="C476" s="3"/>
      <c r="J476" s="169"/>
    </row>
    <row r="477" spans="3:10" ht="15">
      <c r="C477" s="3"/>
      <c r="J477" s="169"/>
    </row>
    <row r="478" spans="3:10" ht="15">
      <c r="C478" s="3"/>
      <c r="J478" s="169"/>
    </row>
    <row r="479" spans="3:10" ht="15">
      <c r="C479" s="3"/>
      <c r="J479" s="169"/>
    </row>
    <row r="480" spans="3:10" ht="15">
      <c r="C480" s="3"/>
      <c r="J480" s="169"/>
    </row>
    <row r="481" spans="3:10" ht="15">
      <c r="C481" s="3"/>
      <c r="J481" s="169"/>
    </row>
    <row r="482" spans="3:10" ht="15">
      <c r="C482" s="3"/>
      <c r="J482" s="169"/>
    </row>
    <row r="483" spans="3:10" ht="15">
      <c r="C483" s="3"/>
      <c r="J483" s="169"/>
    </row>
    <row r="484" spans="3:10" ht="15">
      <c r="C484" s="3"/>
      <c r="J484" s="169"/>
    </row>
    <row r="485" spans="3:10" ht="15">
      <c r="C485" s="3"/>
      <c r="J485" s="169"/>
    </row>
    <row r="486" spans="3:10" ht="15">
      <c r="C486" s="3"/>
      <c r="J486" s="169"/>
    </row>
    <row r="487" spans="3:10" ht="15">
      <c r="C487" s="3"/>
      <c r="J487" s="169"/>
    </row>
    <row r="488" spans="3:10" ht="15">
      <c r="C488" s="3"/>
      <c r="J488" s="169"/>
    </row>
    <row r="489" spans="3:10" ht="15">
      <c r="C489" s="3"/>
      <c r="J489" s="169"/>
    </row>
    <row r="490" spans="3:10" ht="15">
      <c r="C490" s="3"/>
      <c r="J490" s="169"/>
    </row>
    <row r="491" spans="3:10" ht="15">
      <c r="C491" s="3"/>
      <c r="J491" s="169"/>
    </row>
    <row r="492" spans="3:10" ht="15">
      <c r="C492" s="3"/>
      <c r="J492" s="169"/>
    </row>
    <row r="493" spans="3:10" ht="15">
      <c r="C493" s="3"/>
      <c r="J493" s="169"/>
    </row>
    <row r="494" spans="3:10" ht="15">
      <c r="C494" s="3"/>
      <c r="J494" s="169"/>
    </row>
    <row r="495" spans="3:10" ht="15">
      <c r="C495" s="3"/>
      <c r="J495" s="169"/>
    </row>
    <row r="496" spans="3:10" ht="15">
      <c r="C496" s="3"/>
      <c r="J496" s="169"/>
    </row>
    <row r="497" spans="3:10" ht="15">
      <c r="C497" s="3"/>
      <c r="J497" s="169"/>
    </row>
    <row r="498" spans="3:10" ht="15">
      <c r="C498" s="3"/>
      <c r="J498" s="169"/>
    </row>
    <row r="499" spans="3:10" ht="15">
      <c r="C499" s="3"/>
      <c r="J499" s="169"/>
    </row>
    <row r="500" spans="3:10" ht="15">
      <c r="C500" s="3"/>
      <c r="J500" s="169"/>
    </row>
    <row r="501" spans="3:10" ht="15">
      <c r="C501" s="3"/>
      <c r="J501" s="169"/>
    </row>
    <row r="502" spans="3:10" ht="15">
      <c r="C502" s="3"/>
      <c r="J502" s="169"/>
    </row>
    <row r="503" spans="3:10" ht="15">
      <c r="C503" s="3"/>
      <c r="J503" s="169"/>
    </row>
    <row r="504" spans="3:10" ht="15">
      <c r="C504" s="3"/>
      <c r="J504" s="169"/>
    </row>
    <row r="505" spans="3:10" ht="15">
      <c r="C505" s="3"/>
      <c r="J505" s="169"/>
    </row>
    <row r="506" spans="3:10" ht="15">
      <c r="C506" s="3"/>
      <c r="J506" s="169"/>
    </row>
    <row r="507" spans="3:10" ht="15">
      <c r="C507" s="3"/>
      <c r="J507" s="169"/>
    </row>
    <row r="508" spans="3:10" ht="15">
      <c r="C508" s="3"/>
      <c r="J508" s="169"/>
    </row>
    <row r="509" spans="3:10" ht="15">
      <c r="C509" s="3"/>
      <c r="J509" s="169"/>
    </row>
    <row r="510" spans="3:10" ht="15">
      <c r="C510" s="3"/>
      <c r="J510" s="169"/>
    </row>
    <row r="511" spans="3:10" ht="15">
      <c r="C511" s="3"/>
      <c r="J511" s="169"/>
    </row>
    <row r="512" spans="3:10" ht="15">
      <c r="C512" s="3"/>
      <c r="J512" s="169"/>
    </row>
    <row r="513" spans="3:10" ht="15">
      <c r="C513" s="3"/>
      <c r="J513" s="169"/>
    </row>
    <row r="514" spans="3:10" ht="15">
      <c r="C514" s="3"/>
      <c r="J514" s="169"/>
    </row>
    <row r="515" spans="3:10" ht="15">
      <c r="C515" s="3"/>
      <c r="J515" s="169"/>
    </row>
    <row r="516" spans="3:10" ht="15">
      <c r="C516" s="3"/>
      <c r="J516" s="169"/>
    </row>
    <row r="517" spans="3:10" ht="15">
      <c r="C517" s="3"/>
      <c r="J517" s="169"/>
    </row>
    <row r="518" spans="3:10" ht="15">
      <c r="C518" s="3"/>
      <c r="J518" s="169"/>
    </row>
    <row r="519" spans="3:10" ht="15">
      <c r="C519" s="3"/>
      <c r="J519" s="169"/>
    </row>
    <row r="520" spans="3:10" ht="15">
      <c r="C520" s="3"/>
      <c r="J520" s="169"/>
    </row>
    <row r="521" spans="3:10" ht="15">
      <c r="C521" s="3"/>
      <c r="J521" s="169"/>
    </row>
    <row r="522" spans="3:10" ht="15">
      <c r="C522" s="3"/>
      <c r="J522" s="169"/>
    </row>
    <row r="523" spans="3:10" ht="15">
      <c r="C523" s="3"/>
      <c r="J523" s="169"/>
    </row>
    <row r="524" spans="3:10" ht="15">
      <c r="C524" s="3"/>
      <c r="J524" s="169"/>
    </row>
    <row r="525" spans="3:10" ht="15">
      <c r="C525" s="3"/>
      <c r="J525" s="169"/>
    </row>
    <row r="526" spans="3:10" ht="15">
      <c r="C526" s="3"/>
      <c r="J526" s="169"/>
    </row>
    <row r="527" spans="3:10" ht="15">
      <c r="C527" s="3"/>
      <c r="J527" s="169"/>
    </row>
    <row r="528" spans="3:10" ht="15">
      <c r="C528" s="3"/>
      <c r="J528" s="169"/>
    </row>
    <row r="529" spans="3:10" ht="15">
      <c r="C529" s="3"/>
      <c r="J529" s="169"/>
    </row>
    <row r="530" spans="3:10" ht="15">
      <c r="C530" s="3"/>
      <c r="J530" s="169"/>
    </row>
    <row r="531" spans="3:10" ht="15">
      <c r="C531" s="3"/>
      <c r="J531" s="169"/>
    </row>
    <row r="532" spans="3:10" ht="15">
      <c r="C532" s="3"/>
      <c r="J532" s="169"/>
    </row>
    <row r="533" spans="3:10" ht="15">
      <c r="C533" s="3"/>
      <c r="J533" s="169"/>
    </row>
    <row r="534" spans="3:10" ht="15">
      <c r="C534" s="3"/>
      <c r="J534" s="169"/>
    </row>
    <row r="535" spans="3:10" ht="15">
      <c r="C535" s="3"/>
      <c r="J535" s="169"/>
    </row>
    <row r="536" spans="3:10" ht="15">
      <c r="C536" s="3"/>
      <c r="J536" s="169"/>
    </row>
    <row r="537" spans="3:10" ht="15">
      <c r="C537" s="3"/>
      <c r="J537" s="169"/>
    </row>
    <row r="538" spans="3:10" ht="15">
      <c r="C538" s="3"/>
      <c r="J538" s="169"/>
    </row>
    <row r="539" spans="3:10" ht="15">
      <c r="C539" s="3"/>
      <c r="J539" s="169"/>
    </row>
    <row r="540" spans="3:10" ht="15">
      <c r="C540" s="3"/>
      <c r="J540" s="169"/>
    </row>
    <row r="541" spans="3:10" ht="15">
      <c r="C541" s="3"/>
      <c r="J541" s="169"/>
    </row>
    <row r="542" spans="3:10" ht="15">
      <c r="C542" s="3"/>
      <c r="J542" s="169"/>
    </row>
    <row r="543" spans="3:10" ht="15">
      <c r="C543" s="3"/>
      <c r="J543" s="169"/>
    </row>
    <row r="544" spans="3:10" ht="15">
      <c r="C544" s="3"/>
      <c r="J544" s="169"/>
    </row>
    <row r="545" spans="3:10" ht="15">
      <c r="C545" s="3"/>
      <c r="J545" s="169"/>
    </row>
    <row r="546" spans="3:10" ht="15">
      <c r="C546" s="3"/>
      <c r="J546" s="169"/>
    </row>
    <row r="547" spans="3:10" ht="15">
      <c r="C547" s="3"/>
      <c r="J547" s="169"/>
    </row>
    <row r="548" spans="3:10" ht="15">
      <c r="C548" s="3"/>
      <c r="J548" s="169"/>
    </row>
    <row r="549" spans="3:10" ht="15">
      <c r="C549" s="3"/>
      <c r="J549" s="169"/>
    </row>
    <row r="550" spans="3:10" ht="15">
      <c r="C550" s="3"/>
      <c r="J550" s="169"/>
    </row>
    <row r="551" spans="3:10" ht="15">
      <c r="C551" s="3"/>
      <c r="J551" s="169"/>
    </row>
    <row r="552" spans="3:10" ht="15">
      <c r="C552" s="3"/>
      <c r="J552" s="169"/>
    </row>
    <row r="553" spans="3:10" ht="15">
      <c r="C553" s="3"/>
      <c r="J553" s="169"/>
    </row>
    <row r="554" spans="3:10" ht="15">
      <c r="C554" s="3"/>
      <c r="J554" s="169"/>
    </row>
    <row r="555" spans="3:10" ht="15">
      <c r="C555" s="3"/>
      <c r="J555" s="169"/>
    </row>
    <row r="556" spans="3:10" ht="15">
      <c r="C556" s="3"/>
      <c r="J556" s="169"/>
    </row>
    <row r="557" spans="3:10" ht="15">
      <c r="C557" s="3"/>
      <c r="J557" s="169"/>
    </row>
    <row r="558" spans="3:10" ht="15">
      <c r="C558" s="3"/>
      <c r="J558" s="169"/>
    </row>
    <row r="559" spans="3:10" ht="15">
      <c r="C559" s="3"/>
      <c r="J559" s="169"/>
    </row>
    <row r="560" spans="3:10" ht="15">
      <c r="C560" s="3"/>
      <c r="J560" s="169"/>
    </row>
    <row r="561" spans="3:10" ht="15">
      <c r="C561" s="3"/>
      <c r="J561" s="169"/>
    </row>
    <row r="562" spans="3:10" ht="15">
      <c r="C562" s="3"/>
      <c r="J562" s="169"/>
    </row>
    <row r="563" spans="3:10" ht="15">
      <c r="C563" s="3"/>
      <c r="J563" s="169"/>
    </row>
    <row r="564" spans="3:10" ht="15">
      <c r="C564" s="3"/>
      <c r="J564" s="169"/>
    </row>
    <row r="565" spans="3:10" ht="15">
      <c r="C565" s="3"/>
      <c r="J565" s="169"/>
    </row>
    <row r="566" spans="3:10" ht="15">
      <c r="C566" s="3"/>
      <c r="J566" s="169"/>
    </row>
    <row r="567" spans="3:10" ht="15">
      <c r="C567" s="3"/>
      <c r="J567" s="169"/>
    </row>
    <row r="568" spans="3:10" ht="15">
      <c r="C568" s="3"/>
      <c r="J568" s="169"/>
    </row>
    <row r="569" spans="3:10" ht="15">
      <c r="C569" s="3"/>
      <c r="J569" s="169"/>
    </row>
    <row r="570" spans="3:10" ht="15">
      <c r="C570" s="3"/>
      <c r="J570" s="169"/>
    </row>
    <row r="571" spans="3:10" ht="15">
      <c r="C571" s="3"/>
      <c r="J571" s="169"/>
    </row>
    <row r="572" spans="3:10" ht="15">
      <c r="C572" s="3"/>
      <c r="J572" s="169"/>
    </row>
    <row r="573" spans="3:10" ht="15">
      <c r="C573" s="3"/>
      <c r="J573" s="169"/>
    </row>
    <row r="574" spans="3:10" ht="15">
      <c r="C574" s="3"/>
      <c r="J574" s="169"/>
    </row>
    <row r="575" spans="3:10" ht="15">
      <c r="C575" s="3"/>
      <c r="J575" s="169"/>
    </row>
    <row r="576" spans="3:10" ht="15">
      <c r="C576" s="3"/>
      <c r="J576" s="169"/>
    </row>
    <row r="577" spans="3:10" ht="15">
      <c r="C577" s="3"/>
      <c r="J577" s="169"/>
    </row>
    <row r="578" spans="3:10" ht="15">
      <c r="C578" s="3"/>
      <c r="J578" s="169"/>
    </row>
    <row r="579" spans="3:10" ht="15">
      <c r="C579" s="3"/>
      <c r="J579" s="169"/>
    </row>
    <row r="580" spans="3:10" ht="15">
      <c r="C580" s="3"/>
      <c r="J580" s="169"/>
    </row>
    <row r="581" spans="3:10" ht="15">
      <c r="C581" s="3"/>
      <c r="J581" s="169"/>
    </row>
    <row r="582" spans="3:10" ht="15">
      <c r="C582" s="3"/>
      <c r="J582" s="169"/>
    </row>
    <row r="583" spans="3:10" ht="15">
      <c r="C583" s="3"/>
      <c r="J583" s="169"/>
    </row>
    <row r="584" spans="3:10" ht="15">
      <c r="C584" s="3"/>
      <c r="J584" s="169"/>
    </row>
    <row r="585" spans="3:10" ht="15">
      <c r="C585" s="3"/>
      <c r="J585" s="169"/>
    </row>
    <row r="586" spans="3:10" ht="15">
      <c r="C586" s="3"/>
      <c r="J586" s="169"/>
    </row>
    <row r="587" spans="3:10" ht="15">
      <c r="C587" s="3"/>
      <c r="J587" s="169"/>
    </row>
    <row r="588" spans="3:10" ht="15">
      <c r="C588" s="3"/>
      <c r="J588" s="169"/>
    </row>
    <row r="589" spans="3:10" ht="15">
      <c r="C589" s="3"/>
      <c r="J589" s="169"/>
    </row>
    <row r="590" spans="3:10" ht="15">
      <c r="C590" s="3"/>
      <c r="J590" s="169"/>
    </row>
    <row r="591" spans="3:10" ht="15">
      <c r="C591" s="3"/>
      <c r="J591" s="169"/>
    </row>
    <row r="592" spans="3:10" ht="15">
      <c r="C592" s="3"/>
      <c r="J592" s="169"/>
    </row>
    <row r="593" spans="3:10" ht="15">
      <c r="C593" s="3"/>
      <c r="J593" s="169"/>
    </row>
    <row r="594" spans="3:10" ht="15">
      <c r="C594" s="3"/>
      <c r="J594" s="169"/>
    </row>
    <row r="595" spans="3:10" ht="15">
      <c r="C595" s="3"/>
      <c r="J595" s="169"/>
    </row>
    <row r="596" spans="3:10" ht="15">
      <c r="C596" s="3"/>
      <c r="J596" s="169"/>
    </row>
    <row r="597" spans="3:10" ht="15">
      <c r="C597" s="3"/>
      <c r="J597" s="169"/>
    </row>
    <row r="598" spans="3:10" ht="15">
      <c r="C598" s="3"/>
      <c r="J598" s="169"/>
    </row>
    <row r="599" spans="3:10" ht="15">
      <c r="C599" s="3"/>
      <c r="J599" s="169"/>
    </row>
    <row r="600" spans="3:10" ht="15">
      <c r="C600" s="3"/>
      <c r="J600" s="169"/>
    </row>
    <row r="601" spans="3:10" ht="15">
      <c r="C601" s="3"/>
      <c r="J601" s="169"/>
    </row>
    <row r="602" spans="3:10" ht="15">
      <c r="C602" s="3"/>
      <c r="J602" s="169"/>
    </row>
    <row r="603" spans="3:10" ht="15">
      <c r="C603" s="3"/>
      <c r="J603" s="169"/>
    </row>
    <row r="604" spans="3:10" ht="15">
      <c r="C604" s="3"/>
      <c r="J604" s="169"/>
    </row>
    <row r="605" spans="3:10" ht="15">
      <c r="C605" s="3"/>
      <c r="J605" s="169"/>
    </row>
    <row r="606" spans="3:10" ht="15">
      <c r="C606" s="3"/>
      <c r="J606" s="169"/>
    </row>
    <row r="607" spans="3:10" ht="15">
      <c r="C607" s="3"/>
      <c r="J607" s="169"/>
    </row>
    <row r="608" spans="3:10" ht="15">
      <c r="C608" s="3"/>
      <c r="J608" s="169"/>
    </row>
    <row r="609" spans="3:10" ht="15">
      <c r="C609" s="3"/>
      <c r="J609" s="169"/>
    </row>
    <row r="610" spans="3:10" ht="15">
      <c r="C610" s="3"/>
      <c r="J610" s="169"/>
    </row>
    <row r="611" spans="3:10" ht="15">
      <c r="C611" s="3"/>
      <c r="J611" s="169"/>
    </row>
    <row r="612" spans="3:10" ht="15">
      <c r="C612" s="3"/>
      <c r="J612" s="169"/>
    </row>
    <row r="613" spans="3:10" ht="15">
      <c r="C613" s="3"/>
      <c r="J613" s="169"/>
    </row>
    <row r="614" spans="3:10" ht="15">
      <c r="C614" s="3"/>
      <c r="J614" s="169"/>
    </row>
    <row r="615" spans="3:10" ht="15">
      <c r="C615" s="3"/>
      <c r="J615" s="169"/>
    </row>
    <row r="616" spans="3:10" ht="15">
      <c r="C616" s="3"/>
      <c r="J616" s="169"/>
    </row>
    <row r="617" spans="3:10" ht="15">
      <c r="C617" s="3"/>
      <c r="J617" s="169"/>
    </row>
    <row r="618" spans="3:10" ht="15">
      <c r="C618" s="3"/>
      <c r="J618" s="169"/>
    </row>
    <row r="619" spans="3:10" ht="15">
      <c r="C619" s="3"/>
      <c r="J619" s="169"/>
    </row>
    <row r="620" spans="3:10" ht="15">
      <c r="C620" s="3"/>
      <c r="J620" s="169"/>
    </row>
    <row r="621" spans="3:10" ht="15">
      <c r="C621" s="3"/>
      <c r="J621" s="169"/>
    </row>
    <row r="622" spans="3:10" ht="15">
      <c r="C622" s="3"/>
      <c r="J622" s="169"/>
    </row>
    <row r="623" spans="3:10" ht="15">
      <c r="C623" s="3"/>
      <c r="J623" s="169"/>
    </row>
    <row r="624" spans="3:10" ht="15">
      <c r="C624" s="3"/>
      <c r="J624" s="169"/>
    </row>
    <row r="625" spans="3:10" ht="15">
      <c r="C625" s="3"/>
      <c r="J625" s="169"/>
    </row>
    <row r="626" spans="3:10" ht="15">
      <c r="C626" s="3"/>
      <c r="J626" s="169"/>
    </row>
    <row r="627" spans="3:10" ht="15">
      <c r="C627" s="3"/>
      <c r="J627" s="169"/>
    </row>
    <row r="628" spans="3:10" ht="15">
      <c r="C628" s="3"/>
      <c r="J628" s="169"/>
    </row>
    <row r="629" spans="3:10" ht="15">
      <c r="C629" s="3"/>
      <c r="J629" s="169"/>
    </row>
    <row r="630" spans="3:10" ht="15">
      <c r="C630" s="3"/>
      <c r="J630" s="169"/>
    </row>
    <row r="631" spans="3:10" ht="15">
      <c r="C631" s="3"/>
      <c r="J631" s="169"/>
    </row>
    <row r="632" spans="3:10" ht="15">
      <c r="C632" s="3"/>
      <c r="J632" s="169"/>
    </row>
    <row r="633" spans="3:10" ht="15">
      <c r="C633" s="3"/>
      <c r="J633" s="169"/>
    </row>
    <row r="634" spans="3:10" ht="15">
      <c r="C634" s="3"/>
      <c r="J634" s="169"/>
    </row>
    <row r="635" spans="3:10" ht="15">
      <c r="C635" s="3"/>
      <c r="J635" s="169"/>
    </row>
    <row r="636" spans="3:10" ht="15">
      <c r="C636" s="3"/>
      <c r="J636" s="169"/>
    </row>
    <row r="637" spans="3:10" ht="15">
      <c r="C637" s="3"/>
      <c r="J637" s="169"/>
    </row>
    <row r="638" spans="3:10" ht="15">
      <c r="C638" s="3"/>
      <c r="J638" s="169"/>
    </row>
    <row r="639" spans="3:10" ht="15">
      <c r="C639" s="3"/>
      <c r="J639" s="169"/>
    </row>
    <row r="640" spans="3:10" ht="15">
      <c r="C640" s="3"/>
      <c r="J640" s="169"/>
    </row>
    <row r="641" spans="3:10" ht="15">
      <c r="C641" s="3"/>
      <c r="J641" s="169"/>
    </row>
    <row r="642" spans="3:10" ht="15">
      <c r="C642" s="3"/>
      <c r="J642" s="169"/>
    </row>
    <row r="643" spans="3:10" ht="15">
      <c r="C643" s="3"/>
      <c r="J643" s="169"/>
    </row>
    <row r="644" spans="3:10" ht="15">
      <c r="C644" s="3"/>
      <c r="J644" s="169"/>
    </row>
    <row r="645" spans="3:10" ht="15">
      <c r="C645" s="3"/>
      <c r="J645" s="169"/>
    </row>
    <row r="646" spans="3:10" ht="15">
      <c r="C646" s="3"/>
      <c r="J646" s="169"/>
    </row>
    <row r="647" spans="3:10" ht="15">
      <c r="C647" s="3"/>
      <c r="J647" s="169"/>
    </row>
    <row r="648" spans="3:10" ht="15">
      <c r="C648" s="3"/>
      <c r="J648" s="169"/>
    </row>
    <row r="649" spans="3:10" ht="15">
      <c r="C649" s="3"/>
      <c r="J649" s="169"/>
    </row>
    <row r="650" spans="3:10" ht="15">
      <c r="C650" s="3"/>
      <c r="J650" s="169"/>
    </row>
    <row r="651" spans="3:10" ht="15">
      <c r="C651" s="3"/>
      <c r="J651" s="169"/>
    </row>
    <row r="652" spans="3:10" ht="15">
      <c r="C652" s="3"/>
      <c r="J652" s="169"/>
    </row>
    <row r="653" spans="3:10" ht="15">
      <c r="C653" s="3"/>
      <c r="J653" s="169"/>
    </row>
    <row r="654" spans="3:10" ht="15">
      <c r="C654" s="3"/>
      <c r="J654" s="169"/>
    </row>
    <row r="655" spans="3:10" ht="15">
      <c r="C655" s="3"/>
      <c r="J655" s="169"/>
    </row>
    <row r="656" spans="3:10" ht="15">
      <c r="C656" s="3"/>
      <c r="J656" s="169"/>
    </row>
    <row r="657" spans="3:10" ht="15">
      <c r="C657" s="3"/>
      <c r="J657" s="169"/>
    </row>
    <row r="658" spans="3:10" ht="15">
      <c r="C658" s="3"/>
      <c r="J658" s="169"/>
    </row>
    <row r="659" spans="3:10" ht="15">
      <c r="C659" s="3"/>
      <c r="J659" s="169"/>
    </row>
    <row r="660" spans="3:10" ht="15">
      <c r="C660" s="3"/>
      <c r="J660" s="169"/>
    </row>
    <row r="661" spans="3:10" ht="15">
      <c r="C661" s="3"/>
      <c r="J661" s="169"/>
    </row>
    <row r="662" spans="3:10" ht="15">
      <c r="C662" s="3"/>
      <c r="J662" s="169"/>
    </row>
    <row r="663" spans="3:10" ht="15">
      <c r="C663" s="3"/>
      <c r="J663" s="169"/>
    </row>
    <row r="664" spans="3:10" ht="15">
      <c r="C664" s="3"/>
      <c r="J664" s="169"/>
    </row>
    <row r="665" spans="3:10" ht="15">
      <c r="C665" s="3"/>
      <c r="J665" s="169"/>
    </row>
    <row r="666" spans="3:10" ht="15">
      <c r="C666" s="3"/>
      <c r="J666" s="169"/>
    </row>
    <row r="667" spans="3:10" ht="15">
      <c r="C667" s="3"/>
      <c r="J667" s="169"/>
    </row>
    <row r="668" spans="3:10" ht="15">
      <c r="C668" s="3"/>
      <c r="J668" s="169"/>
    </row>
    <row r="669" spans="3:10" ht="15">
      <c r="C669" s="3"/>
      <c r="J669" s="169"/>
    </row>
    <row r="670" spans="3:10" ht="15">
      <c r="C670" s="3"/>
      <c r="J670" s="169"/>
    </row>
    <row r="671" spans="3:10" ht="15">
      <c r="C671" s="3"/>
      <c r="J671" s="169"/>
    </row>
    <row r="672" spans="3:10" ht="15">
      <c r="C672" s="3"/>
      <c r="J672" s="169"/>
    </row>
    <row r="673" spans="3:10" ht="15">
      <c r="C673" s="3"/>
      <c r="J673" s="169"/>
    </row>
    <row r="674" spans="3:10" ht="15">
      <c r="C674" s="3"/>
      <c r="J674" s="169"/>
    </row>
    <row r="675" spans="3:10" ht="15">
      <c r="C675" s="3"/>
      <c r="J675" s="169"/>
    </row>
    <row r="676" spans="3:10" ht="15">
      <c r="C676" s="3"/>
      <c r="J676" s="169"/>
    </row>
    <row r="677" spans="3:10" ht="15">
      <c r="C677" s="3"/>
      <c r="J677" s="169"/>
    </row>
    <row r="678" spans="3:10" ht="15">
      <c r="C678" s="3"/>
      <c r="J678" s="169"/>
    </row>
    <row r="679" spans="3:10" ht="15">
      <c r="C679" s="3"/>
      <c r="J679" s="169"/>
    </row>
    <row r="680" spans="3:10" ht="15">
      <c r="C680" s="3"/>
      <c r="J680" s="169"/>
    </row>
    <row r="681" spans="3:10" ht="15">
      <c r="C681" s="3"/>
      <c r="J681" s="169"/>
    </row>
    <row r="682" spans="3:10" ht="15">
      <c r="C682" s="3"/>
      <c r="J682" s="169"/>
    </row>
    <row r="683" spans="3:10" ht="15">
      <c r="C683" s="3"/>
      <c r="J683" s="169"/>
    </row>
    <row r="684" spans="3:10" ht="15">
      <c r="C684" s="3"/>
      <c r="J684" s="169"/>
    </row>
    <row r="685" spans="3:10" ht="15">
      <c r="C685" s="3"/>
      <c r="J685" s="169"/>
    </row>
    <row r="686" spans="3:10" ht="15">
      <c r="C686" s="3"/>
      <c r="J686" s="169"/>
    </row>
    <row r="687" spans="3:10" ht="15">
      <c r="C687" s="3"/>
      <c r="J687" s="169"/>
    </row>
    <row r="688" spans="3:10" ht="15">
      <c r="C688" s="3"/>
      <c r="J688" s="169"/>
    </row>
    <row r="689" spans="3:10" ht="15">
      <c r="C689" s="3"/>
      <c r="J689" s="169"/>
    </row>
    <row r="690" spans="3:10" ht="15">
      <c r="C690" s="3"/>
      <c r="J690" s="169"/>
    </row>
    <row r="691" spans="3:10" ht="15">
      <c r="C691" s="3"/>
      <c r="J691" s="169"/>
    </row>
    <row r="692" spans="3:10" ht="15">
      <c r="C692" s="3"/>
      <c r="J692" s="169"/>
    </row>
    <row r="693" spans="3:10" ht="15">
      <c r="C693" s="3"/>
      <c r="J693" s="169"/>
    </row>
    <row r="694" spans="3:10" ht="15">
      <c r="C694" s="3"/>
      <c r="J694" s="169"/>
    </row>
    <row r="695" spans="3:10" ht="15">
      <c r="C695" s="3"/>
      <c r="J695" s="169"/>
    </row>
    <row r="696" spans="3:10" ht="15">
      <c r="C696" s="3"/>
      <c r="J696" s="169"/>
    </row>
    <row r="697" spans="3:10" ht="15">
      <c r="C697" s="3"/>
      <c r="J697" s="169"/>
    </row>
    <row r="698" spans="3:10" ht="15">
      <c r="C698" s="3"/>
      <c r="J698" s="169"/>
    </row>
    <row r="699" spans="3:10" ht="15">
      <c r="C699" s="3"/>
      <c r="J699" s="169"/>
    </row>
    <row r="700" spans="3:10" ht="15">
      <c r="C700" s="3"/>
      <c r="J700" s="169"/>
    </row>
    <row r="701" spans="3:10" ht="15">
      <c r="C701" s="3"/>
      <c r="J701" s="169"/>
    </row>
    <row r="702" spans="3:10" ht="15">
      <c r="C702" s="3"/>
      <c r="J702" s="169"/>
    </row>
    <row r="703" spans="3:10" ht="15">
      <c r="C703" s="3"/>
      <c r="J703" s="169"/>
    </row>
    <row r="704" spans="3:10" ht="15">
      <c r="C704" s="3"/>
      <c r="J704" s="169"/>
    </row>
    <row r="705" spans="3:10" ht="15">
      <c r="C705" s="3"/>
      <c r="J705" s="169"/>
    </row>
    <row r="706" spans="3:10" ht="15">
      <c r="C706" s="3"/>
      <c r="J706" s="169"/>
    </row>
    <row r="707" spans="3:10" ht="15">
      <c r="C707" s="3"/>
      <c r="J707" s="169"/>
    </row>
    <row r="708" spans="3:10" ht="15">
      <c r="C708" s="3"/>
      <c r="J708" s="169"/>
    </row>
    <row r="709" spans="3:10" ht="15">
      <c r="C709" s="3"/>
      <c r="J709" s="169"/>
    </row>
    <row r="710" spans="3:10" ht="15">
      <c r="C710" s="3"/>
      <c r="J710" s="169"/>
    </row>
    <row r="711" spans="3:10" ht="15">
      <c r="C711" s="3"/>
      <c r="J711" s="169"/>
    </row>
    <row r="712" spans="3:10" ht="15">
      <c r="C712" s="3"/>
      <c r="J712" s="169"/>
    </row>
    <row r="713" spans="3:10" ht="15">
      <c r="C713" s="3"/>
      <c r="J713" s="169"/>
    </row>
    <row r="714" spans="3:10" ht="15">
      <c r="C714" s="3"/>
      <c r="J714" s="169"/>
    </row>
    <row r="715" spans="3:10" ht="15">
      <c r="C715" s="3"/>
      <c r="J715" s="169"/>
    </row>
    <row r="716" spans="3:10" ht="15">
      <c r="C716" s="3"/>
      <c r="J716" s="169"/>
    </row>
    <row r="717" spans="3:10" ht="15">
      <c r="C717" s="3"/>
      <c r="J717" s="169"/>
    </row>
    <row r="718" spans="3:10" ht="15">
      <c r="C718" s="3"/>
      <c r="J718" s="169"/>
    </row>
    <row r="719" spans="3:10" ht="15">
      <c r="C719" s="3"/>
      <c r="J719" s="169"/>
    </row>
    <row r="720" spans="3:10" ht="15">
      <c r="C720" s="3"/>
      <c r="J720" s="169"/>
    </row>
    <row r="721" spans="3:10" ht="15">
      <c r="C721" s="3"/>
      <c r="J721" s="169"/>
    </row>
    <row r="722" spans="3:10" ht="15">
      <c r="C722" s="3"/>
      <c r="J722" s="169"/>
    </row>
    <row r="723" spans="3:10" ht="15">
      <c r="C723" s="3"/>
      <c r="J723" s="169"/>
    </row>
    <row r="724" spans="3:10" ht="15">
      <c r="C724" s="3"/>
      <c r="J724" s="169"/>
    </row>
    <row r="725" spans="3:10" ht="15">
      <c r="C725" s="3"/>
      <c r="J725" s="169"/>
    </row>
    <row r="726" spans="3:10" ht="15">
      <c r="C726" s="3"/>
      <c r="J726" s="169"/>
    </row>
    <row r="727" spans="3:10" ht="15">
      <c r="C727" s="3"/>
      <c r="J727" s="169"/>
    </row>
    <row r="728" spans="3:10" ht="15">
      <c r="C728" s="3"/>
      <c r="J728" s="169"/>
    </row>
    <row r="729" spans="3:10" ht="15">
      <c r="C729" s="3"/>
      <c r="J729" s="169"/>
    </row>
    <row r="730" spans="3:10" ht="15">
      <c r="C730" s="3"/>
      <c r="J730" s="169"/>
    </row>
    <row r="731" spans="3:10" ht="15">
      <c r="C731" s="3"/>
      <c r="J731" s="169"/>
    </row>
    <row r="732" spans="3:10" ht="15">
      <c r="C732" s="3"/>
      <c r="J732" s="169"/>
    </row>
    <row r="733" spans="3:10" ht="15">
      <c r="C733" s="3"/>
      <c r="J733" s="169"/>
    </row>
    <row r="734" spans="3:10" ht="15">
      <c r="C734" s="3"/>
      <c r="J734" s="169"/>
    </row>
    <row r="735" spans="3:10" ht="15">
      <c r="C735" s="3"/>
      <c r="J735" s="169"/>
    </row>
    <row r="736" spans="3:10" ht="15">
      <c r="C736" s="3"/>
      <c r="J736" s="169"/>
    </row>
    <row r="737" spans="3:10" ht="15">
      <c r="C737" s="3"/>
      <c r="J737" s="169"/>
    </row>
    <row r="738" spans="3:10" ht="15">
      <c r="C738" s="3"/>
      <c r="J738" s="169"/>
    </row>
    <row r="739" spans="3:10" ht="15">
      <c r="C739" s="3"/>
      <c r="J739" s="169"/>
    </row>
    <row r="740" spans="3:10" ht="15">
      <c r="C740" s="3"/>
      <c r="J740" s="169"/>
    </row>
    <row r="741" spans="3:10" ht="15">
      <c r="C741" s="3"/>
      <c r="J741" s="169"/>
    </row>
    <row r="742" spans="3:10" ht="15">
      <c r="C742" s="3"/>
      <c r="J742" s="169"/>
    </row>
    <row r="743" spans="3:10" ht="15">
      <c r="C743" s="3"/>
      <c r="J743" s="169"/>
    </row>
    <row r="744" spans="3:10" ht="15">
      <c r="C744" s="3"/>
      <c r="J744" s="169"/>
    </row>
    <row r="745" spans="3:10" ht="15">
      <c r="C745" s="3"/>
      <c r="J745" s="169"/>
    </row>
    <row r="746" spans="3:10" ht="15">
      <c r="C746" s="3"/>
      <c r="J746" s="169"/>
    </row>
    <row r="747" spans="3:10" ht="15">
      <c r="C747" s="3"/>
      <c r="J747" s="169"/>
    </row>
    <row r="748" spans="3:10" ht="15">
      <c r="C748" s="3"/>
      <c r="J748" s="169"/>
    </row>
    <row r="749" spans="3:10" ht="15">
      <c r="C749" s="3"/>
      <c r="J749" s="169"/>
    </row>
    <row r="750" spans="3:10" ht="15">
      <c r="C750" s="3"/>
      <c r="J750" s="169"/>
    </row>
    <row r="751" spans="3:10" ht="15">
      <c r="C751" s="3"/>
      <c r="J751" s="169"/>
    </row>
    <row r="752" spans="3:10" ht="15">
      <c r="C752" s="3"/>
      <c r="J752" s="169"/>
    </row>
    <row r="753" spans="3:10" ht="15">
      <c r="C753" s="3"/>
      <c r="J753" s="169"/>
    </row>
    <row r="754" spans="3:10" ht="15">
      <c r="C754" s="3"/>
      <c r="J754" s="169"/>
    </row>
    <row r="755" spans="3:10" ht="15">
      <c r="C755" s="3"/>
      <c r="J755" s="169"/>
    </row>
    <row r="756" spans="3:10" ht="15">
      <c r="C756" s="3"/>
      <c r="J756" s="169"/>
    </row>
    <row r="757" spans="3:10" ht="15">
      <c r="C757" s="3"/>
      <c r="J757" s="169"/>
    </row>
    <row r="758" spans="3:10" ht="15">
      <c r="C758" s="3"/>
      <c r="J758" s="169"/>
    </row>
    <row r="759" spans="3:10" ht="15">
      <c r="C759" s="3"/>
      <c r="J759" s="169"/>
    </row>
    <row r="760" spans="3:10" ht="15">
      <c r="C760" s="3"/>
      <c r="J760" s="169"/>
    </row>
    <row r="761" spans="3:10" ht="15">
      <c r="C761" s="3"/>
      <c r="J761" s="169"/>
    </row>
    <row r="762" spans="3:10" ht="15">
      <c r="C762" s="3"/>
      <c r="J762" s="169"/>
    </row>
    <row r="763" spans="3:10" ht="15">
      <c r="C763" s="3"/>
      <c r="J763" s="169"/>
    </row>
    <row r="764" spans="3:10" ht="15">
      <c r="C764" s="3"/>
      <c r="J764" s="169"/>
    </row>
    <row r="765" spans="3:10" ht="15">
      <c r="C765" s="3"/>
      <c r="J765" s="169"/>
    </row>
    <row r="766" spans="3:10" ht="15">
      <c r="C766" s="3"/>
      <c r="J766" s="169"/>
    </row>
    <row r="767" spans="3:10" ht="15">
      <c r="C767" s="3"/>
      <c r="J767" s="169"/>
    </row>
    <row r="768" spans="3:10" ht="15">
      <c r="C768" s="3"/>
      <c r="J768" s="169"/>
    </row>
    <row r="769" spans="3:10" ht="15">
      <c r="C769" s="3"/>
      <c r="J769" s="169"/>
    </row>
    <row r="770" spans="3:10" ht="15">
      <c r="C770" s="3"/>
      <c r="J770" s="169"/>
    </row>
    <row r="771" spans="3:10" ht="15">
      <c r="C771" s="3"/>
      <c r="J771" s="169"/>
    </row>
    <row r="772" spans="3:10" ht="15">
      <c r="C772" s="3"/>
      <c r="J772" s="169"/>
    </row>
    <row r="773" spans="3:10" ht="15">
      <c r="C773" s="3"/>
      <c r="J773" s="169"/>
    </row>
    <row r="774" spans="3:10" ht="15">
      <c r="C774" s="3"/>
      <c r="J774" s="169"/>
    </row>
    <row r="775" spans="3:10" ht="15">
      <c r="C775" s="3"/>
      <c r="J775" s="169"/>
    </row>
    <row r="776" spans="3:10" ht="15">
      <c r="C776" s="3"/>
      <c r="J776" s="169"/>
    </row>
    <row r="777" spans="3:10" ht="15">
      <c r="C777" s="3"/>
      <c r="J777" s="169"/>
    </row>
    <row r="778" spans="3:10" ht="15">
      <c r="C778" s="3"/>
      <c r="J778" s="169"/>
    </row>
    <row r="779" spans="3:10" ht="15">
      <c r="C779" s="3"/>
      <c r="J779" s="169"/>
    </row>
    <row r="780" spans="3:10" ht="15">
      <c r="C780" s="3"/>
      <c r="J780" s="169"/>
    </row>
    <row r="781" spans="3:10" ht="15">
      <c r="C781" s="3"/>
      <c r="J781" s="169"/>
    </row>
    <row r="782" spans="3:10" ht="15">
      <c r="C782" s="3"/>
      <c r="J782" s="169"/>
    </row>
    <row r="783" spans="3:10" ht="15">
      <c r="C783" s="3"/>
      <c r="J783" s="169"/>
    </row>
    <row r="784" spans="3:10" ht="15">
      <c r="C784" s="3"/>
      <c r="J784" s="169"/>
    </row>
    <row r="785" spans="3:10" ht="15">
      <c r="C785" s="3"/>
      <c r="J785" s="169"/>
    </row>
    <row r="786" spans="3:10" ht="15">
      <c r="C786" s="3"/>
      <c r="J786" s="169"/>
    </row>
    <row r="787" spans="3:10" ht="15">
      <c r="C787" s="3"/>
      <c r="J787" s="169"/>
    </row>
    <row r="788" spans="3:10" ht="15">
      <c r="C788" s="3"/>
      <c r="J788" s="169"/>
    </row>
    <row r="789" spans="3:10" ht="15">
      <c r="C789" s="3"/>
      <c r="J789" s="169"/>
    </row>
    <row r="790" spans="3:10" ht="15">
      <c r="C790" s="3"/>
      <c r="J790" s="169"/>
    </row>
    <row r="791" spans="3:10" ht="15">
      <c r="C791" s="3"/>
      <c r="J791" s="169"/>
    </row>
    <row r="792" spans="3:10" ht="15">
      <c r="C792" s="3"/>
      <c r="J792" s="169"/>
    </row>
    <row r="793" spans="3:10" ht="15">
      <c r="C793" s="3"/>
      <c r="J793" s="169"/>
    </row>
    <row r="794" spans="3:10" ht="15">
      <c r="C794" s="3"/>
      <c r="J794" s="169"/>
    </row>
    <row r="795" spans="3:10" ht="15">
      <c r="C795" s="3"/>
      <c r="J795" s="169"/>
    </row>
    <row r="796" spans="3:10" ht="15">
      <c r="C796" s="3"/>
      <c r="J796" s="169"/>
    </row>
    <row r="797" spans="3:10" ht="15">
      <c r="C797" s="3"/>
      <c r="J797" s="169"/>
    </row>
    <row r="798" spans="3:10" ht="15">
      <c r="C798" s="3"/>
      <c r="J798" s="169"/>
    </row>
    <row r="799" spans="3:10" ht="15">
      <c r="C799" s="3"/>
      <c r="J799" s="169"/>
    </row>
    <row r="800" spans="3:10" ht="15">
      <c r="C800" s="3"/>
      <c r="J800" s="169"/>
    </row>
    <row r="801" spans="3:10" ht="15">
      <c r="C801" s="3"/>
      <c r="J801" s="169"/>
    </row>
    <row r="802" spans="3:10" ht="15">
      <c r="C802" s="3"/>
      <c r="J802" s="169"/>
    </row>
    <row r="803" ht="15">
      <c r="J803" s="169"/>
    </row>
    <row r="804" ht="15">
      <c r="J804" s="169"/>
    </row>
    <row r="805" ht="15">
      <c r="J805" s="169"/>
    </row>
    <row r="806" ht="15">
      <c r="J806" s="169"/>
    </row>
    <row r="807" ht="15">
      <c r="J807" s="169"/>
    </row>
    <row r="808" ht="15">
      <c r="J808" s="169"/>
    </row>
    <row r="809" ht="15">
      <c r="J809" s="169"/>
    </row>
    <row r="810" ht="15">
      <c r="J810" s="169"/>
    </row>
    <row r="811" ht="15">
      <c r="J811" s="169"/>
    </row>
    <row r="812" ht="15">
      <c r="J812" s="169"/>
    </row>
    <row r="813" ht="15">
      <c r="J813" s="169"/>
    </row>
    <row r="814" ht="15">
      <c r="J814" s="169"/>
    </row>
    <row r="815" ht="15">
      <c r="J815" s="169"/>
    </row>
    <row r="816" ht="15">
      <c r="J816" s="169"/>
    </row>
    <row r="817" ht="15">
      <c r="J817" s="169"/>
    </row>
    <row r="818" ht="15">
      <c r="J818" s="169"/>
    </row>
    <row r="819" ht="15">
      <c r="J819" s="169"/>
    </row>
    <row r="820" ht="15">
      <c r="J820" s="169"/>
    </row>
    <row r="821" ht="15">
      <c r="J821" s="169"/>
    </row>
    <row r="822" ht="15">
      <c r="J822" s="169"/>
    </row>
    <row r="823" ht="15">
      <c r="J823" s="169"/>
    </row>
    <row r="824" ht="15">
      <c r="J824" s="169"/>
    </row>
    <row r="825" ht="15">
      <c r="J825" s="169"/>
    </row>
    <row r="826" ht="15">
      <c r="J826" s="169"/>
    </row>
    <row r="827" ht="15">
      <c r="J827" s="169"/>
    </row>
    <row r="828" ht="15">
      <c r="J828" s="169"/>
    </row>
    <row r="829" ht="15">
      <c r="J829" s="169"/>
    </row>
    <row r="830" ht="15">
      <c r="J830" s="169"/>
    </row>
    <row r="831" ht="15">
      <c r="J831" s="169"/>
    </row>
    <row r="832" ht="15">
      <c r="J832" s="169"/>
    </row>
    <row r="833" ht="15">
      <c r="J833" s="169"/>
    </row>
    <row r="834" ht="15">
      <c r="J834" s="169"/>
    </row>
    <row r="835" ht="15">
      <c r="J835" s="169"/>
    </row>
    <row r="836" ht="15">
      <c r="J836" s="169"/>
    </row>
    <row r="837" ht="15">
      <c r="J837" s="169"/>
    </row>
    <row r="838" ht="15">
      <c r="J838" s="169"/>
    </row>
    <row r="839" ht="15">
      <c r="J839" s="169"/>
    </row>
    <row r="840" ht="15">
      <c r="J840" s="169"/>
    </row>
    <row r="841" ht="15">
      <c r="J841" s="169"/>
    </row>
    <row r="842" ht="15">
      <c r="J842" s="169"/>
    </row>
    <row r="843" ht="15">
      <c r="J843" s="169"/>
    </row>
    <row r="844" ht="15">
      <c r="J844" s="169"/>
    </row>
    <row r="845" ht="15">
      <c r="J845" s="169"/>
    </row>
    <row r="846" ht="15">
      <c r="J846" s="169"/>
    </row>
    <row r="847" ht="15">
      <c r="J847" s="169"/>
    </row>
    <row r="848" ht="15">
      <c r="J848" s="169"/>
    </row>
    <row r="849" ht="15">
      <c r="J849" s="169"/>
    </row>
    <row r="850" ht="15">
      <c r="J850" s="169"/>
    </row>
    <row r="851" ht="15">
      <c r="J851" s="169"/>
    </row>
    <row r="852" ht="15">
      <c r="J852" s="169"/>
    </row>
    <row r="853" ht="15">
      <c r="J853" s="169"/>
    </row>
    <row r="854" ht="15">
      <c r="J854" s="169"/>
    </row>
    <row r="855" ht="15">
      <c r="J855" s="169"/>
    </row>
    <row r="856" ht="15">
      <c r="J856" s="169"/>
    </row>
    <row r="857" ht="15">
      <c r="J857" s="169"/>
    </row>
    <row r="858" ht="15">
      <c r="J858" s="169"/>
    </row>
    <row r="859" ht="15">
      <c r="J859" s="169"/>
    </row>
    <row r="860" ht="15">
      <c r="J860" s="169"/>
    </row>
    <row r="861" ht="15">
      <c r="J861" s="169"/>
    </row>
    <row r="862" ht="15">
      <c r="J862" s="169"/>
    </row>
    <row r="863" ht="15">
      <c r="J863" s="169"/>
    </row>
    <row r="864" ht="15">
      <c r="J864" s="169"/>
    </row>
    <row r="865" ht="15">
      <c r="J865" s="169"/>
    </row>
    <row r="866" ht="15">
      <c r="J866" s="169"/>
    </row>
    <row r="867" ht="15">
      <c r="J867" s="169"/>
    </row>
    <row r="868" ht="15">
      <c r="J868" s="169"/>
    </row>
    <row r="869" ht="15">
      <c r="J869" s="169"/>
    </row>
    <row r="870" ht="15">
      <c r="J870" s="169"/>
    </row>
    <row r="871" ht="15">
      <c r="J871" s="169"/>
    </row>
    <row r="872" ht="15">
      <c r="J872" s="169"/>
    </row>
    <row r="873" ht="15">
      <c r="J873" s="169"/>
    </row>
    <row r="874" ht="15">
      <c r="J874" s="169"/>
    </row>
    <row r="875" ht="15">
      <c r="J875" s="169"/>
    </row>
    <row r="876" ht="15">
      <c r="J876" s="169"/>
    </row>
    <row r="877" ht="15">
      <c r="J877" s="169"/>
    </row>
    <row r="878" ht="15">
      <c r="J878" s="169"/>
    </row>
    <row r="879" ht="15">
      <c r="J879" s="169"/>
    </row>
    <row r="880" ht="15">
      <c r="J880" s="169"/>
    </row>
    <row r="881" ht="15">
      <c r="J881" s="169"/>
    </row>
    <row r="882" ht="15">
      <c r="J882" s="169"/>
    </row>
    <row r="883" ht="15">
      <c r="J883" s="169"/>
    </row>
    <row r="884" ht="15">
      <c r="J884" s="169"/>
    </row>
    <row r="885" ht="15">
      <c r="J885" s="169"/>
    </row>
    <row r="886" ht="15">
      <c r="J886" s="169"/>
    </row>
    <row r="887" ht="15">
      <c r="J887" s="169"/>
    </row>
    <row r="888" ht="15">
      <c r="J888" s="169"/>
    </row>
    <row r="889" ht="15">
      <c r="J889" s="169"/>
    </row>
    <row r="890" ht="15">
      <c r="J890" s="169"/>
    </row>
    <row r="891" ht="15">
      <c r="J891" s="169"/>
    </row>
    <row r="892" ht="15">
      <c r="J892" s="169"/>
    </row>
    <row r="893" ht="15">
      <c r="J893" s="169"/>
    </row>
    <row r="894" ht="15">
      <c r="J894" s="169"/>
    </row>
    <row r="895" ht="15">
      <c r="J895" s="169"/>
    </row>
    <row r="896" ht="15">
      <c r="J896" s="169"/>
    </row>
    <row r="897" ht="15">
      <c r="J897" s="169"/>
    </row>
    <row r="898" ht="15">
      <c r="J898" s="169"/>
    </row>
    <row r="899" ht="15">
      <c r="J899" s="169"/>
    </row>
    <row r="900" ht="15">
      <c r="J900" s="169"/>
    </row>
    <row r="901" ht="15">
      <c r="J901" s="169"/>
    </row>
    <row r="902" ht="15">
      <c r="J902" s="169"/>
    </row>
    <row r="903" ht="15">
      <c r="J903" s="169"/>
    </row>
    <row r="904" ht="15">
      <c r="J904" s="169"/>
    </row>
    <row r="905" ht="15">
      <c r="J905" s="169"/>
    </row>
    <row r="906" ht="15">
      <c r="J906" s="169"/>
    </row>
    <row r="907" ht="15">
      <c r="J907" s="169"/>
    </row>
    <row r="908" ht="15">
      <c r="J908" s="169"/>
    </row>
    <row r="909" ht="15">
      <c r="J909" s="169"/>
    </row>
    <row r="910" ht="15">
      <c r="J910" s="169"/>
    </row>
    <row r="911" ht="15">
      <c r="J911" s="169"/>
    </row>
    <row r="912" ht="15">
      <c r="J912" s="169"/>
    </row>
    <row r="913" ht="15">
      <c r="J913" s="169"/>
    </row>
    <row r="914" ht="15">
      <c r="J914" s="169"/>
    </row>
    <row r="915" ht="15">
      <c r="J915" s="169"/>
    </row>
    <row r="916" ht="15">
      <c r="J916" s="169"/>
    </row>
    <row r="917" ht="15">
      <c r="J917" s="169"/>
    </row>
    <row r="918" ht="15">
      <c r="J918" s="169"/>
    </row>
    <row r="919" ht="15">
      <c r="J919" s="169"/>
    </row>
    <row r="920" ht="15">
      <c r="J920" s="169"/>
    </row>
    <row r="921" ht="15">
      <c r="J921" s="169"/>
    </row>
    <row r="922" ht="15">
      <c r="J922" s="169"/>
    </row>
    <row r="923" ht="15">
      <c r="J923" s="169"/>
    </row>
    <row r="924" ht="15">
      <c r="J924" s="169"/>
    </row>
    <row r="925" ht="15">
      <c r="J925" s="169"/>
    </row>
    <row r="926" ht="15">
      <c r="J926" s="169"/>
    </row>
    <row r="927" ht="15">
      <c r="J927" s="169"/>
    </row>
    <row r="928" ht="15">
      <c r="J928" s="169"/>
    </row>
    <row r="929" ht="15">
      <c r="J929" s="169"/>
    </row>
    <row r="930" ht="15">
      <c r="J930" s="169"/>
    </row>
    <row r="931" ht="15">
      <c r="J931" s="169"/>
    </row>
    <row r="932" ht="15">
      <c r="J932" s="169"/>
    </row>
    <row r="933" ht="15">
      <c r="J933" s="169"/>
    </row>
    <row r="934" ht="15">
      <c r="J934" s="169"/>
    </row>
    <row r="935" ht="15">
      <c r="J935" s="169"/>
    </row>
    <row r="936" ht="15">
      <c r="J936" s="169"/>
    </row>
    <row r="937" ht="15">
      <c r="J937" s="169"/>
    </row>
    <row r="938" ht="15">
      <c r="J938" s="169"/>
    </row>
    <row r="939" ht="15">
      <c r="J939" s="169"/>
    </row>
    <row r="940" ht="15">
      <c r="J940" s="169"/>
    </row>
    <row r="941" ht="15">
      <c r="J941" s="169"/>
    </row>
    <row r="942" ht="15">
      <c r="J942" s="169"/>
    </row>
    <row r="943" ht="15">
      <c r="J943" s="169"/>
    </row>
    <row r="944" ht="15">
      <c r="J944" s="169"/>
    </row>
    <row r="945" ht="15">
      <c r="J945" s="169"/>
    </row>
    <row r="946" ht="15">
      <c r="J946" s="169"/>
    </row>
    <row r="947" ht="15">
      <c r="J947" s="169"/>
    </row>
    <row r="948" ht="15">
      <c r="J948" s="169"/>
    </row>
    <row r="949" ht="15">
      <c r="J949" s="169"/>
    </row>
    <row r="950" ht="15">
      <c r="J950" s="169"/>
    </row>
    <row r="951" ht="15">
      <c r="J951" s="169"/>
    </row>
    <row r="952" ht="15">
      <c r="J952" s="169"/>
    </row>
    <row r="953" ht="15">
      <c r="J953" s="169"/>
    </row>
    <row r="954" ht="15">
      <c r="J954" s="169"/>
    </row>
    <row r="955" ht="15">
      <c r="J955" s="169"/>
    </row>
    <row r="956" ht="15">
      <c r="J956" s="169"/>
    </row>
    <row r="957" ht="15">
      <c r="J957" s="169"/>
    </row>
    <row r="958" ht="15">
      <c r="J958" s="169"/>
    </row>
    <row r="959" ht="15">
      <c r="J959" s="169"/>
    </row>
    <row r="960" ht="15">
      <c r="J960" s="169"/>
    </row>
    <row r="961" ht="15">
      <c r="J961" s="169"/>
    </row>
    <row r="962" ht="15">
      <c r="J962" s="169"/>
    </row>
    <row r="963" ht="15">
      <c r="J963" s="169"/>
    </row>
    <row r="964" ht="15">
      <c r="J964" s="169"/>
    </row>
    <row r="965" ht="15">
      <c r="J965" s="169"/>
    </row>
    <row r="966" ht="15">
      <c r="J966" s="169"/>
    </row>
    <row r="967" ht="15">
      <c r="J967" s="169"/>
    </row>
    <row r="968" ht="15">
      <c r="J968" s="169"/>
    </row>
    <row r="969" ht="15">
      <c r="J969" s="169"/>
    </row>
    <row r="970" ht="15">
      <c r="J970" s="169"/>
    </row>
    <row r="971" ht="15">
      <c r="J971" s="169"/>
    </row>
    <row r="972" ht="15">
      <c r="J972" s="169"/>
    </row>
    <row r="973" ht="15">
      <c r="J973" s="169"/>
    </row>
    <row r="974" ht="15">
      <c r="J974" s="169"/>
    </row>
    <row r="975" ht="15">
      <c r="J975" s="169"/>
    </row>
    <row r="976" ht="15">
      <c r="J976" s="169"/>
    </row>
    <row r="977" ht="15">
      <c r="J977" s="169"/>
    </row>
    <row r="978" ht="15">
      <c r="J978" s="169"/>
    </row>
    <row r="979" ht="15">
      <c r="J979" s="169"/>
    </row>
    <row r="980" ht="15">
      <c r="J980" s="169"/>
    </row>
    <row r="981" ht="15">
      <c r="J981" s="169"/>
    </row>
    <row r="982" ht="15">
      <c r="J982" s="169"/>
    </row>
    <row r="983" ht="15">
      <c r="J983" s="169"/>
    </row>
    <row r="984" ht="15">
      <c r="J984" s="169"/>
    </row>
    <row r="985" ht="15">
      <c r="J985" s="169"/>
    </row>
    <row r="986" ht="15">
      <c r="J986" s="169"/>
    </row>
    <row r="987" ht="15">
      <c r="J987" s="169"/>
    </row>
    <row r="988" ht="15">
      <c r="J988" s="169"/>
    </row>
    <row r="989" ht="15">
      <c r="J989" s="169"/>
    </row>
    <row r="990" ht="15">
      <c r="J990" s="169"/>
    </row>
    <row r="991" ht="15">
      <c r="J991" s="169"/>
    </row>
    <row r="992" ht="15">
      <c r="J992" s="169"/>
    </row>
    <row r="993" ht="15">
      <c r="J993" s="169"/>
    </row>
    <row r="994" ht="15">
      <c r="J994" s="169"/>
    </row>
    <row r="995" ht="15">
      <c r="J995" s="169"/>
    </row>
    <row r="996" ht="15">
      <c r="J996" s="169"/>
    </row>
    <row r="997" ht="15">
      <c r="J997" s="169"/>
    </row>
    <row r="998" ht="15">
      <c r="J998" s="169"/>
    </row>
    <row r="999" ht="15">
      <c r="J999" s="169"/>
    </row>
    <row r="1000" ht="15">
      <c r="J1000" s="169"/>
    </row>
    <row r="1001" ht="15">
      <c r="J1001" s="169"/>
    </row>
    <row r="1002" ht="15">
      <c r="J1002" s="169"/>
    </row>
    <row r="1003" ht="15">
      <c r="J1003" s="169"/>
    </row>
    <row r="1004" ht="15">
      <c r="J1004" s="169"/>
    </row>
    <row r="1005" ht="15">
      <c r="J1005" s="169"/>
    </row>
    <row r="1006" ht="15">
      <c r="J1006" s="169"/>
    </row>
    <row r="1007" ht="15">
      <c r="J1007" s="169"/>
    </row>
    <row r="1008" ht="15">
      <c r="J1008" s="169"/>
    </row>
    <row r="1009" ht="15">
      <c r="J1009" s="169"/>
    </row>
    <row r="1010" ht="15">
      <c r="J1010" s="169"/>
    </row>
    <row r="1011" ht="15">
      <c r="J1011" s="169"/>
    </row>
    <row r="1012" ht="15">
      <c r="J1012" s="169"/>
    </row>
    <row r="1013" ht="15">
      <c r="J1013" s="169"/>
    </row>
    <row r="1014" ht="15">
      <c r="J1014" s="169"/>
    </row>
  </sheetData>
  <mergeCells count="1">
    <mergeCell ref="A1:G2"/>
  </mergeCells>
  <dataValidations count="5">
    <dataValidation type="list" showInputMessage="1" showErrorMessage="1" sqref="D24:D802 C23:C802">
      <formula1>INDIRECT(B23)</formula1>
    </dataValidation>
    <dataValidation type="list" allowBlank="1" showInputMessage="1" showErrorMessage="1" sqref="D23 C5:D22">
      <formula1>INDIRECT(B5)</formula1>
    </dataValidation>
    <dataValidation type="list" allowBlank="1" showInputMessage="1" showErrorMessage="1" sqref="B17:B23">
      <formula1>[5]list!#REF!</formula1>
    </dataValidation>
    <dataValidation type="list" allowBlank="1" showInputMessage="1" showErrorMessage="1" sqref="B24:B802">
      <formula1>list!$A$2:$A$3</formula1>
    </dataValidation>
    <dataValidation type="list" allowBlank="1" showInputMessage="1" showErrorMessage="1" sqref="B5:B16">
      <formula1>list!$A$2:$A$3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5"/>
  <sheetViews>
    <sheetView showZeros="0" zoomScale="60" zoomScaleNormal="60" workbookViewId="0" topLeftCell="A1">
      <selection activeCell="L3" sqref="L3"/>
    </sheetView>
  </sheetViews>
  <sheetFormatPr defaultColWidth="9.140625" defaultRowHeight="15"/>
  <cols>
    <col min="1" max="1" width="25.00390625" style="0" customWidth="1"/>
    <col min="2" max="2" width="27.8515625" style="0" customWidth="1"/>
    <col min="3" max="3" width="28.7109375" style="0" customWidth="1"/>
    <col min="4" max="4" width="20.421875" style="0" customWidth="1"/>
    <col min="5" max="5" width="13.00390625" style="0" customWidth="1"/>
    <col min="6" max="6" width="32.421875" style="0" customWidth="1"/>
    <col min="7" max="7" width="21.7109375" style="130" customWidth="1"/>
    <col min="8" max="9" width="11.8515625" style="0" customWidth="1"/>
    <col min="10" max="10" width="19.7109375" style="0" customWidth="1"/>
    <col min="11" max="11" width="10.8515625" style="0" customWidth="1"/>
    <col min="12" max="12" width="12.00390625" style="0" customWidth="1"/>
    <col min="13" max="13" width="10.8515625" style="0" customWidth="1"/>
    <col min="14" max="14" width="12.7109375" style="0" customWidth="1"/>
  </cols>
  <sheetData>
    <row r="1" spans="1:20" ht="21">
      <c r="A1" s="30" t="s">
        <v>434</v>
      </c>
      <c r="B1" s="124"/>
      <c r="C1" s="124"/>
      <c r="D1" s="124"/>
      <c r="E1" s="124"/>
      <c r="F1" s="124"/>
      <c r="L1" s="31" t="s">
        <v>433</v>
      </c>
      <c r="M1" s="124"/>
      <c r="N1" s="124"/>
      <c r="O1" s="124"/>
      <c r="P1" s="124"/>
      <c r="Q1" s="124"/>
      <c r="R1" s="124"/>
      <c r="S1" s="124"/>
      <c r="T1" s="124"/>
    </row>
    <row r="2" spans="1:20" ht="38.25">
      <c r="A2" s="123" t="s">
        <v>975</v>
      </c>
      <c r="B2" s="123" t="s">
        <v>798</v>
      </c>
      <c r="C2" s="123" t="s">
        <v>799</v>
      </c>
      <c r="D2" s="123" t="s">
        <v>800</v>
      </c>
      <c r="E2" s="123" t="s">
        <v>801</v>
      </c>
      <c r="F2" s="123" t="s">
        <v>802</v>
      </c>
      <c r="G2" s="129"/>
      <c r="H2" s="123" t="s">
        <v>831</v>
      </c>
      <c r="I2" s="123" t="s">
        <v>832</v>
      </c>
      <c r="J2" s="123" t="s">
        <v>1026</v>
      </c>
      <c r="K2" s="124"/>
      <c r="L2" s="123" t="s">
        <v>975</v>
      </c>
      <c r="M2" s="123" t="s">
        <v>798</v>
      </c>
      <c r="N2" s="123" t="s">
        <v>799</v>
      </c>
      <c r="O2" s="123" t="s">
        <v>800</v>
      </c>
      <c r="P2" s="123" t="s">
        <v>1025</v>
      </c>
      <c r="Q2" s="123" t="s">
        <v>987</v>
      </c>
      <c r="R2" s="123" t="s">
        <v>831</v>
      </c>
      <c r="S2" s="123" t="s">
        <v>832</v>
      </c>
      <c r="T2" s="167" t="s">
        <v>1026</v>
      </c>
    </row>
    <row r="3" spans="1:20" ht="15">
      <c r="A3" t="s">
        <v>963</v>
      </c>
      <c r="B3">
        <f ca="1">SUMIFS(NFI_Hygiene_Track,NFI_Org,A3,NFI_State,"Rakhine")</f>
        <v>0</v>
      </c>
      <c r="C3" s="124">
        <f ca="1">SUMIFS(NFI_Core_Track,NFI_Org,A3,NFI_State,"Rakhine")</f>
        <v>0</v>
      </c>
      <c r="D3" s="124">
        <f ca="1">SUMIFS(NFI_Sanitary_Track,NFI_Org,A3,NFI_State,"Rakhine")</f>
        <v>0</v>
      </c>
      <c r="E3" s="124">
        <f ca="1">SUMIFS(NFI_Mosquito_Track,NFI_Org,A3,NFI_State,"Rakhine")</f>
        <v>0</v>
      </c>
      <c r="F3" s="124">
        <f ca="1">SUMIFS(NFI_Tarpaulin_Track,NFI_Org,A3,NFI_State,"Rakhine")</f>
        <v>0</v>
      </c>
      <c r="H3" s="124">
        <f ca="1">SUMIFS(NFI_Blanket_Track,NFI_Org,A3,NFI_State,"Rakhine")</f>
        <v>0</v>
      </c>
      <c r="I3" s="124">
        <f ca="1">SUMIFS(NFI_Kitchen_Track,NFI_Org,A3,NFI_State,"Rakhine")</f>
        <v>0</v>
      </c>
      <c r="J3" s="124">
        <f ca="1">SUMIFS(NFI_Complementary_Track,NFI_Org,A3,NFI_State,"Rakhine")</f>
        <v>0</v>
      </c>
      <c r="L3" s="124" t="s">
        <v>960</v>
      </c>
      <c r="M3" s="124">
        <f ca="1">SUMIFS(NFI_Hygiene_Track,NFI_Org,L3,NFI_State,"Kachin")</f>
        <v>60</v>
      </c>
      <c r="N3" s="124">
        <f ca="1">SUMIFS(NFI_Core_Track,NFI_Org,L3,NFI_State,"Kachin")</f>
        <v>0</v>
      </c>
      <c r="O3" s="124">
        <f ca="1">SUMIFS(NFI_Sanitary_Track,NFI_Org,L3,NFI_State,"Kachin")</f>
        <v>0</v>
      </c>
      <c r="P3" s="124">
        <f ca="1">SUMIFS(NFI_Mosquito_Track,NFI_Org,L3,NFI_State,"Kachin")</f>
        <v>0</v>
      </c>
      <c r="Q3" s="124">
        <f ca="1">SUMIFS(NFI_Tarpaulin_Track,NFI_Org,L3,NFI_State,"Kachin")</f>
        <v>0</v>
      </c>
      <c r="R3" s="124">
        <f ca="1">SUMIFS(NFI_Blanket_Track,NFI_Org,L3,NFI_State,"Kachin")</f>
        <v>0</v>
      </c>
      <c r="S3" s="124">
        <f ca="1">SUMIFS(NFI_Kitchen_Track,NFI_Org,L3,NFI_State,"Kachin")</f>
        <v>0</v>
      </c>
      <c r="T3" s="124">
        <f ca="1">SUMIFS(NFI_Complementary_Track,NFI_Org,L3,NFI_State,"Kachin")</f>
        <v>0</v>
      </c>
    </row>
    <row r="4" spans="1:20" ht="15">
      <c r="A4" t="s">
        <v>964</v>
      </c>
      <c r="B4" s="124">
        <f ca="1">SUMIFS(NFI_Hygiene_Track,NFI_Org,A4,NFI_State,"Rakhine")</f>
        <v>0</v>
      </c>
      <c r="C4" s="124">
        <f ca="1">SUMIFS(NFI_Core_Track,NFI_Org,A4,NFI_State,"Rakhine")</f>
        <v>0</v>
      </c>
      <c r="D4" s="124">
        <f ca="1">SUMIFS(NFI_Sanitary_Track,NFI_Org,A4,NFI_State,"Rakhine")</f>
        <v>0</v>
      </c>
      <c r="E4" s="124">
        <f ca="1">SUMIFS(NFI_Mosquito_Track,NFI_Org,A4,NFI_State,"Rakhine")</f>
        <v>0</v>
      </c>
      <c r="F4" s="124">
        <f ca="1">SUMIFS(NFI_Tarpaulin_Track,NFI_Org,A4,NFI_State,"Rakhine")</f>
        <v>0</v>
      </c>
      <c r="H4" s="124">
        <f ca="1">SUMIFS(NFI_Blanket_Track,NFI_Org,A4,NFI_State,"Rakhine")</f>
        <v>0</v>
      </c>
      <c r="I4" s="124">
        <f ca="1">SUMIFS(NFI_Kitchen_Track,NFI_Org,A4,NFI_State,"Rakhine")</f>
        <v>0</v>
      </c>
      <c r="J4" s="124">
        <f ca="1">SUMIFS(NFI_Complementary_Track,NFI_Org,A4,NFI_State,"Rakhine")</f>
        <v>0</v>
      </c>
      <c r="L4" s="124"/>
      <c r="M4" s="124"/>
      <c r="N4" s="124"/>
      <c r="O4" s="124"/>
      <c r="P4" s="124"/>
      <c r="Q4" s="124"/>
      <c r="R4" s="124"/>
      <c r="S4" s="124"/>
      <c r="T4" s="124"/>
    </row>
    <row r="5" spans="1:10" ht="15">
      <c r="A5" t="s">
        <v>960</v>
      </c>
      <c r="B5" s="124">
        <f ca="1">SUMIFS(NFI_Hygiene_Track,NFI_Org,A5,NFI_State,"Rakhine")</f>
        <v>0</v>
      </c>
      <c r="C5" s="124">
        <f ca="1">SUMIFS(NFI_Core_Track,NFI_Org,A5,NFI_State,"Rakhine")</f>
        <v>0</v>
      </c>
      <c r="D5" s="124">
        <f ca="1">SUMIFS(NFI_Sanitary_Track,NFI_Org,A5,NFI_State,"Rakhine")</f>
        <v>0</v>
      </c>
      <c r="E5" s="124">
        <f ca="1">SUMIFS(NFI_Mosquito_Track,NFI_Org,A5,NFI_State,"Rakhine")</f>
        <v>0</v>
      </c>
      <c r="F5" s="124">
        <f ca="1">SUMIFS(NFI_Tarpaulin_Track,NFI_Org,A5,NFI_State,"Rakhine")</f>
        <v>0</v>
      </c>
      <c r="H5" s="124">
        <f ca="1">SUMIFS(NFI_Blanket_Track,NFI_Org,A5,NFI_State,"Rakhine")</f>
        <v>0</v>
      </c>
      <c r="I5" s="124">
        <f ca="1">SUMIFS(NFI_Kitchen_Track,NFI_Org,A5,NFI_State,"Rakhine")</f>
        <v>0</v>
      </c>
      <c r="J5" s="124">
        <f ca="1">SUMIFS(NFI_Complementary_Track,NFI_Org,A5,NFI_State,"Rakhine")</f>
        <v>0</v>
      </c>
    </row>
    <row r="6" spans="1:20" ht="15">
      <c r="A6" t="s">
        <v>961</v>
      </c>
      <c r="B6" s="124">
        <f ca="1">SUMIFS(NFI_Hygiene_Track,NFI_Org,A6,NFI_State,"Rakhine")</f>
        <v>0</v>
      </c>
      <c r="C6" s="124">
        <f ca="1">SUMIFS(NFI_Core_Track,NFI_Org,A6,NFI_State,"Rakhine")</f>
        <v>0</v>
      </c>
      <c r="D6" s="124">
        <f ca="1">SUMIFS(NFI_Sanitary_Track,NFI_Org,A6,NFI_State,"Rakhine")</f>
        <v>0</v>
      </c>
      <c r="E6" s="124">
        <f ca="1">SUMIFS(NFI_Mosquito_Track,NFI_Org,A6,NFI_State,"Rakhine")</f>
        <v>0</v>
      </c>
      <c r="F6" s="124">
        <f ca="1">SUMIFS(NFI_Tarpaulin_Track,NFI_Org,A6,NFI_State,"Rakhine")</f>
        <v>0</v>
      </c>
      <c r="H6" s="124">
        <f ca="1">SUMIFS(NFI_Blanket_Track,NFI_Org,A6,NFI_State,"Rakhine")</f>
        <v>0</v>
      </c>
      <c r="I6" s="124">
        <f ca="1">SUMIFS(NFI_Kitchen_Track,NFI_Org,A6,NFI_State,"Rakhine")</f>
        <v>0</v>
      </c>
      <c r="J6" s="124">
        <f ca="1">SUMIFS(NFI_Complementary_Track,NFI_Org,A6,NFI_State,"Rakhine")</f>
        <v>0</v>
      </c>
      <c r="L6" s="124"/>
      <c r="M6" s="124"/>
      <c r="N6" s="124"/>
      <c r="O6" s="124"/>
      <c r="P6" s="124"/>
      <c r="Q6" s="124"/>
      <c r="R6" s="124"/>
      <c r="S6" s="124"/>
      <c r="T6" s="124"/>
    </row>
    <row r="7" spans="1:20" ht="15">
      <c r="A7" t="s">
        <v>976</v>
      </c>
      <c r="B7" s="124">
        <f>SUMIFS(NFI_Hygiene_Track,NFI_Org,A7,NFI_State,"Rakhine")</f>
        <v>0</v>
      </c>
      <c r="C7" s="124">
        <f>SUMIFS(NFI_Core_Track,NFI_Org,A7,NFI_State,"Rakhine")</f>
        <v>0</v>
      </c>
      <c r="D7" s="124">
        <f>SUMIFS(NFI_Sanitary_Track,NFI_Org,A7,NFI_State,"Rakhine")</f>
        <v>0</v>
      </c>
      <c r="E7" s="124">
        <f>SUMIFS(NFI_Mosquito_Track,NFI_Org,A7,NFI_State,"Rakhine")</f>
        <v>0</v>
      </c>
      <c r="F7" s="124">
        <f>SUMIFS(NFI_Tarpaulin_Track,NFI_Org,A7,NFI_State,"Rakhine")</f>
        <v>0</v>
      </c>
      <c r="H7" s="124">
        <f>SUMIFS(NFI_Blanket_Track,NFI_Org,A7,NFI_State,"Rakhine")</f>
        <v>0</v>
      </c>
      <c r="I7" s="124">
        <f>SUMIFS(NFI_Kitchen_Track,NFI_Org,A7,NFI_State,"Rakhine")</f>
        <v>0</v>
      </c>
      <c r="J7" s="124">
        <f>SUMIFS(NFI_Complementary_Track,NFI_Org,A7,NFI_State,"Rakhine")</f>
        <v>0</v>
      </c>
      <c r="L7" s="124"/>
      <c r="M7" s="124"/>
      <c r="N7" s="124"/>
      <c r="O7" s="124"/>
      <c r="P7" s="124"/>
      <c r="Q7" s="124"/>
      <c r="R7" s="124"/>
      <c r="S7" s="124"/>
      <c r="T7" s="124"/>
    </row>
    <row r="22" ht="15">
      <c r="G22"/>
    </row>
    <row r="23" ht="15">
      <c r="G23"/>
    </row>
    <row r="24" ht="15">
      <c r="G24"/>
    </row>
    <row r="25" ht="15">
      <c r="G25"/>
    </row>
    <row r="26" ht="15">
      <c r="G26"/>
    </row>
    <row r="27" ht="15">
      <c r="G27"/>
    </row>
    <row r="28" ht="15">
      <c r="G28"/>
    </row>
    <row r="29" ht="15">
      <c r="G29"/>
    </row>
    <row r="30" ht="15">
      <c r="G30"/>
    </row>
    <row r="31" ht="15">
      <c r="G31"/>
    </row>
    <row r="32" ht="15">
      <c r="G32"/>
    </row>
    <row r="33" ht="15">
      <c r="G33"/>
    </row>
    <row r="34" ht="15">
      <c r="G34"/>
    </row>
    <row r="35" ht="15">
      <c r="G35"/>
    </row>
    <row r="36" ht="15">
      <c r="G36"/>
    </row>
    <row r="37" ht="15">
      <c r="G37"/>
    </row>
    <row r="38" ht="15">
      <c r="G38"/>
    </row>
    <row r="39" ht="15">
      <c r="G39"/>
    </row>
    <row r="40" ht="15">
      <c r="G40"/>
    </row>
    <row r="41" ht="15">
      <c r="G41"/>
    </row>
    <row r="42" ht="15">
      <c r="G42"/>
    </row>
    <row r="43" ht="15">
      <c r="G43"/>
    </row>
    <row r="44" ht="15">
      <c r="G44"/>
    </row>
    <row r="45" ht="15">
      <c r="G45"/>
    </row>
    <row r="46" ht="15">
      <c r="G46"/>
    </row>
    <row r="47" ht="15">
      <c r="G47"/>
    </row>
    <row r="48" ht="15">
      <c r="G48"/>
    </row>
    <row r="49" ht="15">
      <c r="G49"/>
    </row>
    <row r="50" ht="15">
      <c r="G50"/>
    </row>
    <row r="51" ht="15">
      <c r="G51"/>
    </row>
    <row r="52" ht="15">
      <c r="G52"/>
    </row>
    <row r="53" ht="15">
      <c r="G53"/>
    </row>
    <row r="54" ht="15">
      <c r="G54"/>
    </row>
    <row r="55" ht="15">
      <c r="G55"/>
    </row>
    <row r="56" ht="15">
      <c r="G56"/>
    </row>
    <row r="57" ht="15">
      <c r="G57"/>
    </row>
    <row r="58" ht="15">
      <c r="G58"/>
    </row>
    <row r="59" ht="15">
      <c r="G59"/>
    </row>
    <row r="60" ht="15">
      <c r="G60"/>
    </row>
    <row r="61" ht="15">
      <c r="G61"/>
    </row>
    <row r="62" ht="15">
      <c r="G62"/>
    </row>
    <row r="63" ht="15">
      <c r="G63"/>
    </row>
    <row r="64" ht="15">
      <c r="G64"/>
    </row>
    <row r="65" ht="15">
      <c r="G65"/>
    </row>
    <row r="66" ht="15">
      <c r="G66"/>
    </row>
    <row r="67" ht="15">
      <c r="G67"/>
    </row>
    <row r="68" ht="15">
      <c r="G68"/>
    </row>
    <row r="69" ht="15">
      <c r="G69"/>
    </row>
    <row r="70" ht="15">
      <c r="G70"/>
    </row>
    <row r="71" ht="15">
      <c r="G71"/>
    </row>
    <row r="72" ht="15">
      <c r="G72"/>
    </row>
    <row r="73" ht="15">
      <c r="G73"/>
    </row>
    <row r="74" ht="15">
      <c r="G74"/>
    </row>
    <row r="75" ht="15">
      <c r="G75"/>
    </row>
    <row r="76" ht="15">
      <c r="G76"/>
    </row>
    <row r="77" ht="15">
      <c r="G77"/>
    </row>
    <row r="78" ht="15">
      <c r="G78"/>
    </row>
    <row r="79" ht="15">
      <c r="G79"/>
    </row>
    <row r="80" ht="15">
      <c r="G80"/>
    </row>
    <row r="81" ht="15">
      <c r="G81"/>
    </row>
    <row r="82" ht="15">
      <c r="G82"/>
    </row>
    <row r="83" ht="15">
      <c r="G83"/>
    </row>
    <row r="84" ht="15">
      <c r="G84"/>
    </row>
    <row r="85" ht="15">
      <c r="G85"/>
    </row>
    <row r="86" ht="15">
      <c r="G86"/>
    </row>
    <row r="87" ht="15">
      <c r="G87"/>
    </row>
    <row r="88" ht="15">
      <c r="G88"/>
    </row>
    <row r="89" ht="15">
      <c r="G89"/>
    </row>
    <row r="90" ht="15">
      <c r="G90"/>
    </row>
    <row r="91" ht="15">
      <c r="G91"/>
    </row>
    <row r="92" ht="15">
      <c r="G92"/>
    </row>
    <row r="93" ht="15">
      <c r="G93"/>
    </row>
    <row r="94" ht="15">
      <c r="G94"/>
    </row>
    <row r="95" ht="15">
      <c r="G95"/>
    </row>
    <row r="96" ht="15">
      <c r="G96"/>
    </row>
    <row r="97" ht="15">
      <c r="G97"/>
    </row>
    <row r="98" ht="15">
      <c r="G98"/>
    </row>
    <row r="99" ht="15">
      <c r="G99"/>
    </row>
    <row r="100" ht="15">
      <c r="G100"/>
    </row>
    <row r="101" ht="15">
      <c r="G101"/>
    </row>
    <row r="102" ht="15">
      <c r="G102"/>
    </row>
    <row r="103" ht="15">
      <c r="G103"/>
    </row>
    <row r="104" ht="15">
      <c r="G104"/>
    </row>
    <row r="105" ht="15">
      <c r="G105"/>
    </row>
    <row r="106" ht="15">
      <c r="G106"/>
    </row>
    <row r="107" ht="15">
      <c r="G107"/>
    </row>
    <row r="108" ht="15">
      <c r="G108"/>
    </row>
    <row r="109" ht="15">
      <c r="G109"/>
    </row>
    <row r="110" ht="15">
      <c r="G110"/>
    </row>
    <row r="111" ht="15">
      <c r="G111"/>
    </row>
    <row r="112" ht="15">
      <c r="G112"/>
    </row>
    <row r="113" ht="15">
      <c r="G113"/>
    </row>
    <row r="114" ht="15">
      <c r="G114"/>
    </row>
    <row r="115" ht="15">
      <c r="G115"/>
    </row>
    <row r="116" ht="15">
      <c r="G116"/>
    </row>
    <row r="117" ht="15">
      <c r="G117"/>
    </row>
    <row r="118" ht="15">
      <c r="G118"/>
    </row>
    <row r="119" ht="15">
      <c r="G119"/>
    </row>
    <row r="120" ht="15">
      <c r="G120"/>
    </row>
    <row r="121" ht="15">
      <c r="G121"/>
    </row>
    <row r="122" ht="15">
      <c r="G122"/>
    </row>
    <row r="123" ht="15">
      <c r="G123"/>
    </row>
    <row r="124" ht="15">
      <c r="G124"/>
    </row>
    <row r="125" ht="15">
      <c r="G125"/>
    </row>
    <row r="126" ht="15">
      <c r="G126"/>
    </row>
    <row r="127" ht="15">
      <c r="G127"/>
    </row>
    <row r="128" ht="15">
      <c r="G128"/>
    </row>
    <row r="129" ht="15">
      <c r="G129"/>
    </row>
    <row r="130" ht="15">
      <c r="G130"/>
    </row>
    <row r="131" ht="15">
      <c r="G131"/>
    </row>
    <row r="132" ht="15">
      <c r="G132"/>
    </row>
    <row r="133" ht="15">
      <c r="G133"/>
    </row>
    <row r="134" ht="15">
      <c r="G134"/>
    </row>
    <row r="135" ht="15">
      <c r="G135"/>
    </row>
    <row r="136" ht="15">
      <c r="G136"/>
    </row>
    <row r="137" ht="15">
      <c r="G137"/>
    </row>
    <row r="138" ht="15">
      <c r="G138"/>
    </row>
    <row r="139" ht="15">
      <c r="G139"/>
    </row>
    <row r="140" ht="15">
      <c r="G140"/>
    </row>
    <row r="141" ht="15">
      <c r="G141"/>
    </row>
    <row r="142" ht="15">
      <c r="G142"/>
    </row>
    <row r="143" ht="15">
      <c r="G143"/>
    </row>
    <row r="144" ht="15">
      <c r="G144"/>
    </row>
    <row r="145" ht="15">
      <c r="G145"/>
    </row>
    <row r="146" ht="15">
      <c r="G146"/>
    </row>
    <row r="147" ht="15">
      <c r="G147"/>
    </row>
    <row r="148" ht="15">
      <c r="G148"/>
    </row>
    <row r="149" ht="15">
      <c r="G149"/>
    </row>
    <row r="150" ht="15">
      <c r="G150"/>
    </row>
    <row r="151" ht="15">
      <c r="G151"/>
    </row>
    <row r="152" ht="15">
      <c r="G152"/>
    </row>
    <row r="153" ht="15">
      <c r="G153"/>
    </row>
    <row r="154" ht="15">
      <c r="G154"/>
    </row>
    <row r="155" ht="15">
      <c r="G155"/>
    </row>
  </sheetData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319"/>
  <sheetViews>
    <sheetView zoomScale="93" zoomScaleNormal="93" workbookViewId="0" topLeftCell="C1">
      <selection activeCell="AI17" sqref="AI17"/>
    </sheetView>
  </sheetViews>
  <sheetFormatPr defaultColWidth="9.140625" defaultRowHeight="15"/>
  <cols>
    <col min="1" max="1" width="9.140625" style="5" customWidth="1"/>
    <col min="2" max="2" width="13.8515625" style="5" bestFit="1" customWidth="1"/>
    <col min="3" max="3" width="11.7109375" style="5" bestFit="1" customWidth="1"/>
    <col min="4" max="4" width="22.140625" style="5" bestFit="1" customWidth="1"/>
    <col min="5" max="5" width="22.140625" style="5" customWidth="1"/>
    <col min="6" max="6" width="35.57421875" style="5" bestFit="1" customWidth="1"/>
    <col min="7" max="7" width="22.00390625" style="5" bestFit="1" customWidth="1"/>
    <col min="8" max="8" width="34.7109375" style="5" bestFit="1" customWidth="1"/>
    <col min="9" max="9" width="56.57421875" style="5" bestFit="1" customWidth="1"/>
    <col min="10" max="10" width="21.421875" style="5" bestFit="1" customWidth="1"/>
    <col min="11" max="11" width="13.8515625" style="5" bestFit="1" customWidth="1"/>
    <col min="12" max="12" width="36.00390625" style="5" bestFit="1" customWidth="1"/>
    <col min="13" max="13" width="34.28125" style="5" bestFit="1" customWidth="1"/>
    <col min="14" max="14" width="19.421875" style="5" bestFit="1" customWidth="1"/>
    <col min="15" max="15" width="26.57421875" style="5" bestFit="1" customWidth="1"/>
    <col min="16" max="16" width="35.00390625" style="5" bestFit="1" customWidth="1"/>
    <col min="17" max="17" width="34.28125" style="5" bestFit="1" customWidth="1"/>
    <col min="18" max="18" width="13.421875" style="5" bestFit="1" customWidth="1"/>
    <col min="19" max="19" width="44.00390625" style="5" bestFit="1" customWidth="1"/>
    <col min="20" max="20" width="37.421875" style="5" bestFit="1" customWidth="1"/>
    <col min="21" max="21" width="39.140625" style="5" bestFit="1" customWidth="1"/>
    <col min="22" max="22" width="9.140625" style="5" customWidth="1"/>
    <col min="23" max="23" width="13.8515625" style="5" bestFit="1" customWidth="1"/>
    <col min="24" max="24" width="30.28125" style="5" bestFit="1" customWidth="1"/>
    <col min="25" max="25" width="37.28125" style="5" bestFit="1" customWidth="1"/>
    <col min="26" max="26" width="15.28125" style="5" bestFit="1" customWidth="1"/>
    <col min="27" max="27" width="31.421875" style="5" bestFit="1" customWidth="1"/>
    <col min="28" max="28" width="17.8515625" style="5" bestFit="1" customWidth="1"/>
    <col min="29" max="29" width="20.7109375" style="5" bestFit="1" customWidth="1"/>
    <col min="30" max="30" width="14.28125" style="5" bestFit="1" customWidth="1"/>
    <col min="31" max="31" width="25.57421875" style="5" bestFit="1" customWidth="1"/>
    <col min="32" max="32" width="15.7109375" style="5" bestFit="1" customWidth="1"/>
    <col min="33" max="33" width="14.57421875" style="5" bestFit="1" customWidth="1"/>
    <col min="34" max="34" width="28.140625" style="5" bestFit="1" customWidth="1"/>
    <col min="35" max="35" width="18.7109375" style="5" bestFit="1" customWidth="1"/>
  </cols>
  <sheetData>
    <row r="1" spans="1:35" ht="15">
      <c r="A1" s="5" t="s">
        <v>451</v>
      </c>
      <c r="B1" s="5" t="s">
        <v>433</v>
      </c>
      <c r="C1" s="5" t="s">
        <v>434</v>
      </c>
      <c r="D1" s="5" t="s">
        <v>467</v>
      </c>
      <c r="E1" s="5" t="s">
        <v>1075</v>
      </c>
      <c r="F1" s="5" t="s">
        <v>7</v>
      </c>
      <c r="G1" s="5" t="s">
        <v>376</v>
      </c>
      <c r="H1" s="5" t="s">
        <v>29</v>
      </c>
      <c r="I1" s="5" t="s">
        <v>41</v>
      </c>
      <c r="J1" s="5" t="s">
        <v>412</v>
      </c>
      <c r="K1" s="5" t="s">
        <v>148</v>
      </c>
      <c r="L1" s="5" t="s">
        <v>150</v>
      </c>
      <c r="M1" s="5" t="s">
        <v>155</v>
      </c>
      <c r="N1" s="5" t="s">
        <v>170</v>
      </c>
      <c r="O1" s="5" t="s">
        <v>177</v>
      </c>
      <c r="P1" s="5" t="s">
        <v>184</v>
      </c>
      <c r="Q1" s="5" t="s">
        <v>189</v>
      </c>
      <c r="R1" s="5" t="s">
        <v>432</v>
      </c>
      <c r="S1" s="5" t="s">
        <v>234</v>
      </c>
      <c r="T1" s="5" t="s">
        <v>241</v>
      </c>
      <c r="U1" s="5" t="s">
        <v>294</v>
      </c>
      <c r="V1" s="5" t="s">
        <v>303</v>
      </c>
      <c r="W1" s="5" t="s">
        <v>306</v>
      </c>
      <c r="X1" s="5" t="s">
        <v>308</v>
      </c>
      <c r="Y1" s="5" t="s">
        <v>316</v>
      </c>
      <c r="Z1" s="5" t="s">
        <v>452</v>
      </c>
      <c r="AA1" s="5" t="s">
        <v>453</v>
      </c>
      <c r="AB1" s="5" t="s">
        <v>454</v>
      </c>
      <c r="AC1" s="5" t="s">
        <v>455</v>
      </c>
      <c r="AD1" s="5" t="s">
        <v>456</v>
      </c>
      <c r="AE1" s="5" t="s">
        <v>457</v>
      </c>
      <c r="AF1" s="5" t="s">
        <v>458</v>
      </c>
      <c r="AG1" s="5" t="s">
        <v>459</v>
      </c>
      <c r="AH1" s="5" t="s">
        <v>460</v>
      </c>
      <c r="AI1" s="5" t="s">
        <v>461</v>
      </c>
    </row>
    <row r="2" spans="1:35" ht="15">
      <c r="A2" s="197" t="s">
        <v>433</v>
      </c>
      <c r="B2" s="197" t="s">
        <v>7</v>
      </c>
      <c r="C2" s="197" t="s">
        <v>458</v>
      </c>
      <c r="D2" s="197" t="s">
        <v>462</v>
      </c>
      <c r="E2" s="197" t="s">
        <v>1054</v>
      </c>
      <c r="F2" s="197" t="s">
        <v>8</v>
      </c>
      <c r="G2" s="197" t="s">
        <v>375</v>
      </c>
      <c r="H2" s="197" t="s">
        <v>30</v>
      </c>
      <c r="I2" s="197" t="s">
        <v>132</v>
      </c>
      <c r="J2" s="197" t="s">
        <v>37</v>
      </c>
      <c r="K2" s="197" t="s">
        <v>149</v>
      </c>
      <c r="L2" s="197" t="s">
        <v>424</v>
      </c>
      <c r="M2" s="197" t="s">
        <v>14</v>
      </c>
      <c r="N2" s="197" t="s">
        <v>173</v>
      </c>
      <c r="O2" s="197" t="s">
        <v>178</v>
      </c>
      <c r="P2" s="197" t="s">
        <v>187</v>
      </c>
      <c r="Q2" s="197" t="s">
        <v>192</v>
      </c>
      <c r="R2" s="197" t="s">
        <v>423</v>
      </c>
      <c r="S2" s="197" t="s">
        <v>235</v>
      </c>
      <c r="T2" s="197" t="s">
        <v>248</v>
      </c>
      <c r="U2" s="197" t="s">
        <v>301</v>
      </c>
      <c r="V2" s="197" t="s">
        <v>304</v>
      </c>
      <c r="W2" s="197" t="s">
        <v>307</v>
      </c>
      <c r="X2" s="197" t="s">
        <v>14</v>
      </c>
      <c r="Y2" s="197" t="s">
        <v>367</v>
      </c>
      <c r="Z2" s="197" t="s">
        <v>473</v>
      </c>
      <c r="AA2" s="197" t="s">
        <v>478</v>
      </c>
      <c r="AB2" s="197" t="s">
        <v>480</v>
      </c>
      <c r="AC2" s="197" t="s">
        <v>483</v>
      </c>
      <c r="AD2" s="197" t="s">
        <v>489</v>
      </c>
      <c r="AE2" s="197" t="s">
        <v>501</v>
      </c>
      <c r="AF2" s="197" t="s">
        <v>502</v>
      </c>
      <c r="AG2" s="197" t="s">
        <v>505</v>
      </c>
      <c r="AH2" s="199" t="s">
        <v>536</v>
      </c>
      <c r="AI2" s="197" t="s">
        <v>556</v>
      </c>
    </row>
    <row r="3" spans="1:35" ht="15">
      <c r="A3" s="197" t="s">
        <v>434</v>
      </c>
      <c r="B3" s="197" t="s">
        <v>376</v>
      </c>
      <c r="C3" s="197" t="s">
        <v>456</v>
      </c>
      <c r="D3" s="197" t="s">
        <v>463</v>
      </c>
      <c r="E3" s="197" t="s">
        <v>1055</v>
      </c>
      <c r="F3" s="197" t="s">
        <v>12</v>
      </c>
      <c r="G3" s="197" t="s">
        <v>378</v>
      </c>
      <c r="H3" s="197" t="s">
        <v>34</v>
      </c>
      <c r="I3" s="197" t="s">
        <v>66</v>
      </c>
      <c r="J3" s="197"/>
      <c r="K3" s="197"/>
      <c r="L3" s="197" t="s">
        <v>420</v>
      </c>
      <c r="M3" s="197" t="s">
        <v>162</v>
      </c>
      <c r="N3" s="197" t="s">
        <v>171</v>
      </c>
      <c r="O3" s="197" t="s">
        <v>180</v>
      </c>
      <c r="P3" s="197" t="s">
        <v>292</v>
      </c>
      <c r="Q3" s="197" t="s">
        <v>196</v>
      </c>
      <c r="R3" s="197"/>
      <c r="S3" s="197" t="s">
        <v>237</v>
      </c>
      <c r="T3" s="197" t="s">
        <v>250</v>
      </c>
      <c r="U3" s="197" t="s">
        <v>299</v>
      </c>
      <c r="V3" s="197"/>
      <c r="W3" s="197"/>
      <c r="X3" s="197" t="s">
        <v>310</v>
      </c>
      <c r="Y3" s="197" t="s">
        <v>341</v>
      </c>
      <c r="Z3" s="197" t="s">
        <v>471</v>
      </c>
      <c r="AA3" s="197" t="s">
        <v>476</v>
      </c>
      <c r="AB3" s="197" t="s">
        <v>481</v>
      </c>
      <c r="AC3" s="197" t="s">
        <v>482</v>
      </c>
      <c r="AD3" s="197" t="s">
        <v>492</v>
      </c>
      <c r="AE3" s="197" t="s">
        <v>499</v>
      </c>
      <c r="AF3" s="197" t="s">
        <v>503</v>
      </c>
      <c r="AG3" s="197" t="s">
        <v>504</v>
      </c>
      <c r="AH3" s="197" t="s">
        <v>902</v>
      </c>
      <c r="AI3" s="197" t="s">
        <v>546</v>
      </c>
    </row>
    <row r="4" spans="1:35" ht="15">
      <c r="A4" s="197"/>
      <c r="B4" s="197" t="s">
        <v>29</v>
      </c>
      <c r="C4" s="197" t="s">
        <v>461</v>
      </c>
      <c r="D4" s="197" t="s">
        <v>464</v>
      </c>
      <c r="E4" s="197" t="s">
        <v>1053</v>
      </c>
      <c r="F4" s="197" t="s">
        <v>14</v>
      </c>
      <c r="G4" s="197" t="s">
        <v>400</v>
      </c>
      <c r="H4" s="197" t="s">
        <v>415</v>
      </c>
      <c r="I4" s="197" t="s">
        <v>124</v>
      </c>
      <c r="J4" s="197"/>
      <c r="K4" s="197"/>
      <c r="L4" s="197" t="s">
        <v>421</v>
      </c>
      <c r="M4" s="197" t="s">
        <v>164</v>
      </c>
      <c r="N4" s="197" t="s">
        <v>175</v>
      </c>
      <c r="O4" s="197" t="s">
        <v>182</v>
      </c>
      <c r="P4" s="197" t="s">
        <v>185</v>
      </c>
      <c r="Q4" s="197" t="s">
        <v>14</v>
      </c>
      <c r="R4" s="197"/>
      <c r="S4" s="197" t="s">
        <v>239</v>
      </c>
      <c r="T4" s="197" t="s">
        <v>252</v>
      </c>
      <c r="U4" s="197" t="s">
        <v>297</v>
      </c>
      <c r="V4" s="197"/>
      <c r="W4" s="197"/>
      <c r="X4" s="197" t="s">
        <v>312</v>
      </c>
      <c r="Y4" s="197" t="s">
        <v>319</v>
      </c>
      <c r="Z4" s="197" t="s">
        <v>468</v>
      </c>
      <c r="AA4" s="197" t="s">
        <v>479</v>
      </c>
      <c r="AB4" s="197"/>
      <c r="AC4" s="197" t="s">
        <v>485</v>
      </c>
      <c r="AD4" s="197" t="s">
        <v>491</v>
      </c>
      <c r="AE4" s="197" t="s">
        <v>500</v>
      </c>
      <c r="AF4" s="197"/>
      <c r="AG4" s="197"/>
      <c r="AH4" s="199" t="s">
        <v>506</v>
      </c>
      <c r="AI4" s="197" t="s">
        <v>551</v>
      </c>
    </row>
    <row r="5" spans="1:35" ht="15">
      <c r="A5" s="197"/>
      <c r="B5" s="197" t="s">
        <v>41</v>
      </c>
      <c r="C5" s="197" t="s">
        <v>454</v>
      </c>
      <c r="D5" s="197" t="s">
        <v>465</v>
      </c>
      <c r="E5" s="197"/>
      <c r="F5" s="197" t="s">
        <v>16</v>
      </c>
      <c r="G5" s="197" t="s">
        <v>402</v>
      </c>
      <c r="H5" s="197" t="s">
        <v>36</v>
      </c>
      <c r="I5" s="197" t="s">
        <v>44</v>
      </c>
      <c r="J5" s="197"/>
      <c r="K5" s="197"/>
      <c r="L5" s="197" t="s">
        <v>419</v>
      </c>
      <c r="M5" s="197" t="s">
        <v>158</v>
      </c>
      <c r="N5" s="197"/>
      <c r="O5" s="197"/>
      <c r="P5" s="197"/>
      <c r="Q5" s="197" t="s">
        <v>198</v>
      </c>
      <c r="R5" s="197"/>
      <c r="S5" s="197"/>
      <c r="T5" s="197" t="s">
        <v>258</v>
      </c>
      <c r="U5" s="197" t="s">
        <v>295</v>
      </c>
      <c r="V5" s="197"/>
      <c r="W5" s="197"/>
      <c r="X5" s="197" t="s">
        <v>314</v>
      </c>
      <c r="Y5" s="197" t="s">
        <v>343</v>
      </c>
      <c r="Z5" s="197" t="s">
        <v>475</v>
      </c>
      <c r="AA5" s="197" t="s">
        <v>477</v>
      </c>
      <c r="AB5" s="197"/>
      <c r="AC5" s="197" t="s">
        <v>484</v>
      </c>
      <c r="AD5" s="197" t="s">
        <v>494</v>
      </c>
      <c r="AE5" s="197" t="s">
        <v>498</v>
      </c>
      <c r="AF5" s="197"/>
      <c r="AG5" s="197"/>
      <c r="AH5" s="199" t="s">
        <v>507</v>
      </c>
      <c r="AI5" s="197" t="s">
        <v>555</v>
      </c>
    </row>
    <row r="6" spans="1:35" ht="15">
      <c r="A6" s="197"/>
      <c r="B6" s="197" t="s">
        <v>412</v>
      </c>
      <c r="C6" s="197" t="s">
        <v>452</v>
      </c>
      <c r="D6" s="197" t="s">
        <v>466</v>
      </c>
      <c r="E6" s="197"/>
      <c r="F6" s="197" t="s">
        <v>18</v>
      </c>
      <c r="G6" s="197" t="s">
        <v>380</v>
      </c>
      <c r="H6" s="197" t="s">
        <v>416</v>
      </c>
      <c r="I6" s="197" t="s">
        <v>46</v>
      </c>
      <c r="J6" s="197"/>
      <c r="K6" s="197"/>
      <c r="L6" s="197" t="s">
        <v>422</v>
      </c>
      <c r="M6" s="197" t="s">
        <v>160</v>
      </c>
      <c r="N6" s="197"/>
      <c r="O6" s="197"/>
      <c r="P6" s="197"/>
      <c r="Q6" s="197" t="s">
        <v>200</v>
      </c>
      <c r="R6" s="197"/>
      <c r="S6" s="197"/>
      <c r="T6" s="197" t="s">
        <v>260</v>
      </c>
      <c r="U6" s="197" t="s">
        <v>426</v>
      </c>
      <c r="V6" s="197"/>
      <c r="W6" s="197"/>
      <c r="X6" s="197"/>
      <c r="Y6" s="197" t="s">
        <v>321</v>
      </c>
      <c r="Z6" s="197" t="s">
        <v>470</v>
      </c>
      <c r="AA6" s="197"/>
      <c r="AB6" s="197"/>
      <c r="AC6" s="197" t="s">
        <v>486</v>
      </c>
      <c r="AD6" s="197" t="s">
        <v>493</v>
      </c>
      <c r="AE6" s="197"/>
      <c r="AF6" s="197"/>
      <c r="AG6" s="197"/>
      <c r="AH6" s="197" t="s">
        <v>911</v>
      </c>
      <c r="AI6" s="197" t="s">
        <v>548</v>
      </c>
    </row>
    <row r="7" spans="1:35" ht="15">
      <c r="A7" s="197"/>
      <c r="B7" s="197" t="s">
        <v>148</v>
      </c>
      <c r="C7" s="197" t="s">
        <v>453</v>
      </c>
      <c r="D7" s="197"/>
      <c r="E7" s="197"/>
      <c r="F7" s="197" t="s">
        <v>18</v>
      </c>
      <c r="G7" s="197" t="s">
        <v>382</v>
      </c>
      <c r="H7" s="197" t="s">
        <v>39</v>
      </c>
      <c r="I7" s="197" t="s">
        <v>42</v>
      </c>
      <c r="J7" s="197"/>
      <c r="K7" s="197"/>
      <c r="L7" s="197" t="s">
        <v>418</v>
      </c>
      <c r="M7" s="197" t="s">
        <v>156</v>
      </c>
      <c r="N7" s="197"/>
      <c r="O7" s="197"/>
      <c r="P7" s="197"/>
      <c r="Q7" s="197" t="s">
        <v>202</v>
      </c>
      <c r="R7" s="197"/>
      <c r="S7" s="197"/>
      <c r="T7" s="197" t="s">
        <v>262</v>
      </c>
      <c r="U7" s="197" t="s">
        <v>427</v>
      </c>
      <c r="V7" s="197"/>
      <c r="W7" s="197"/>
      <c r="X7" s="197"/>
      <c r="Y7" s="197" t="s">
        <v>347</v>
      </c>
      <c r="Z7" s="197" t="s">
        <v>469</v>
      </c>
      <c r="AA7" s="197"/>
      <c r="AB7" s="197"/>
      <c r="AC7" s="197"/>
      <c r="AD7" s="197" t="s">
        <v>497</v>
      </c>
      <c r="AE7" s="197"/>
      <c r="AF7" s="197"/>
      <c r="AG7" s="197"/>
      <c r="AH7" s="197" t="s">
        <v>892</v>
      </c>
      <c r="AI7" s="197" t="s">
        <v>547</v>
      </c>
    </row>
    <row r="8" spans="1:35" ht="15">
      <c r="A8" s="197"/>
      <c r="B8" s="197" t="s">
        <v>150</v>
      </c>
      <c r="C8" s="197" t="s">
        <v>455</v>
      </c>
      <c r="D8" s="197"/>
      <c r="E8" s="197"/>
      <c r="F8" s="197" t="s">
        <v>20</v>
      </c>
      <c r="G8" s="197" t="s">
        <v>384</v>
      </c>
      <c r="H8" s="197"/>
      <c r="I8" s="197" t="s">
        <v>50</v>
      </c>
      <c r="J8" s="197"/>
      <c r="K8" s="197"/>
      <c r="L8" s="197" t="s">
        <v>153</v>
      </c>
      <c r="M8" s="197" t="s">
        <v>166</v>
      </c>
      <c r="N8" s="197"/>
      <c r="O8" s="197"/>
      <c r="P8" s="197"/>
      <c r="Q8" s="197" t="s">
        <v>190</v>
      </c>
      <c r="R8" s="197"/>
      <c r="S8" s="197"/>
      <c r="T8" s="197" t="s">
        <v>244</v>
      </c>
      <c r="U8" s="197" t="s">
        <v>398</v>
      </c>
      <c r="V8" s="197"/>
      <c r="W8" s="197"/>
      <c r="X8" s="197"/>
      <c r="Y8" s="197" t="s">
        <v>327</v>
      </c>
      <c r="Z8" s="197" t="s">
        <v>472</v>
      </c>
      <c r="AA8" s="197"/>
      <c r="AB8" s="197"/>
      <c r="AC8" s="197"/>
      <c r="AD8" s="197" t="s">
        <v>487</v>
      </c>
      <c r="AE8" s="197"/>
      <c r="AF8" s="197"/>
      <c r="AG8" s="197"/>
      <c r="AH8" s="199" t="s">
        <v>518</v>
      </c>
      <c r="AI8" s="197" t="s">
        <v>545</v>
      </c>
    </row>
    <row r="9" spans="1:35" ht="15">
      <c r="A9" s="197"/>
      <c r="B9" s="197" t="s">
        <v>155</v>
      </c>
      <c r="C9" s="197" t="s">
        <v>459</v>
      </c>
      <c r="D9" s="197"/>
      <c r="E9" s="197"/>
      <c r="F9" s="197" t="s">
        <v>10</v>
      </c>
      <c r="G9" s="197" t="s">
        <v>386</v>
      </c>
      <c r="H9" s="197"/>
      <c r="I9" s="197" t="s">
        <v>52</v>
      </c>
      <c r="J9" s="197"/>
      <c r="K9" s="197"/>
      <c r="L9" s="197" t="s">
        <v>425</v>
      </c>
      <c r="M9" s="197" t="s">
        <v>168</v>
      </c>
      <c r="N9" s="197"/>
      <c r="O9" s="197"/>
      <c r="P9" s="197"/>
      <c r="Q9" s="197" t="s">
        <v>227</v>
      </c>
      <c r="R9" s="197"/>
      <c r="S9" s="197"/>
      <c r="T9" s="197" t="s">
        <v>290</v>
      </c>
      <c r="U9" s="197"/>
      <c r="V9" s="197"/>
      <c r="W9" s="197"/>
      <c r="X9" s="197"/>
      <c r="Y9" s="197" t="s">
        <v>329</v>
      </c>
      <c r="Z9" s="197" t="s">
        <v>474</v>
      </c>
      <c r="AA9" s="197"/>
      <c r="AB9" s="197"/>
      <c r="AC9" s="197"/>
      <c r="AD9" s="197" t="s">
        <v>490</v>
      </c>
      <c r="AE9" s="197"/>
      <c r="AF9" s="197"/>
      <c r="AG9" s="197"/>
      <c r="AH9" s="199" t="s">
        <v>519</v>
      </c>
      <c r="AI9" s="197" t="s">
        <v>554</v>
      </c>
    </row>
    <row r="10" spans="1:35" ht="15">
      <c r="A10" s="197"/>
      <c r="B10" s="197" t="s">
        <v>170</v>
      </c>
      <c r="C10" s="197" t="s">
        <v>457</v>
      </c>
      <c r="D10" s="197"/>
      <c r="E10" s="197"/>
      <c r="F10" s="197" t="s">
        <v>22</v>
      </c>
      <c r="G10" s="197" t="s">
        <v>414</v>
      </c>
      <c r="H10" s="197"/>
      <c r="I10" s="197" t="s">
        <v>54</v>
      </c>
      <c r="J10" s="197"/>
      <c r="K10" s="197"/>
      <c r="L10" s="197"/>
      <c r="M10" s="197"/>
      <c r="N10" s="197"/>
      <c r="O10" s="197"/>
      <c r="P10" s="197"/>
      <c r="Q10" s="197" t="s">
        <v>194</v>
      </c>
      <c r="R10" s="197"/>
      <c r="S10" s="197"/>
      <c r="T10" s="197" t="s">
        <v>264</v>
      </c>
      <c r="U10" s="197"/>
      <c r="V10" s="197"/>
      <c r="W10" s="197"/>
      <c r="X10" s="197"/>
      <c r="Y10" s="197" t="s">
        <v>335</v>
      </c>
      <c r="Z10" s="197"/>
      <c r="AA10" s="197"/>
      <c r="AB10" s="197"/>
      <c r="AC10" s="197"/>
      <c r="AD10" s="197" t="s">
        <v>496</v>
      </c>
      <c r="AE10" s="197"/>
      <c r="AF10" s="197"/>
      <c r="AG10" s="197"/>
      <c r="AH10" s="199" t="s">
        <v>526</v>
      </c>
      <c r="AI10" s="197" t="s">
        <v>543</v>
      </c>
    </row>
    <row r="11" spans="1:35" ht="15">
      <c r="A11" s="197"/>
      <c r="B11" s="197" t="s">
        <v>177</v>
      </c>
      <c r="C11" s="197" t="s">
        <v>460</v>
      </c>
      <c r="D11" s="197"/>
      <c r="E11" s="197"/>
      <c r="F11" s="197" t="s">
        <v>417</v>
      </c>
      <c r="G11" s="197" t="s">
        <v>388</v>
      </c>
      <c r="H11" s="197"/>
      <c r="I11" s="197" t="s">
        <v>56</v>
      </c>
      <c r="J11" s="197"/>
      <c r="K11" s="197"/>
      <c r="L11" s="197"/>
      <c r="M11" s="197"/>
      <c r="N11" s="197"/>
      <c r="O11" s="197"/>
      <c r="P11" s="197"/>
      <c r="Q11" s="197" t="s">
        <v>204</v>
      </c>
      <c r="R11" s="197"/>
      <c r="S11" s="197"/>
      <c r="T11" s="197" t="s">
        <v>266</v>
      </c>
      <c r="U11" s="197"/>
      <c r="V11" s="197"/>
      <c r="W11" s="197"/>
      <c r="X11" s="197"/>
      <c r="Y11" s="197" t="s">
        <v>337</v>
      </c>
      <c r="Z11" s="197"/>
      <c r="AA11" s="197"/>
      <c r="AB11" s="197"/>
      <c r="AC11" s="197"/>
      <c r="AD11" s="197" t="s">
        <v>488</v>
      </c>
      <c r="AE11" s="197"/>
      <c r="AF11" s="197"/>
      <c r="AG11" s="197"/>
      <c r="AH11" s="199" t="s">
        <v>527</v>
      </c>
      <c r="AI11" s="197" t="s">
        <v>550</v>
      </c>
    </row>
    <row r="12" spans="1:35" ht="15">
      <c r="A12" s="197"/>
      <c r="B12" s="197" t="s">
        <v>184</v>
      </c>
      <c r="C12" s="197"/>
      <c r="D12" s="197"/>
      <c r="E12" s="197"/>
      <c r="F12" s="197" t="s">
        <v>24</v>
      </c>
      <c r="G12" s="197" t="s">
        <v>404</v>
      </c>
      <c r="H12" s="197"/>
      <c r="I12" s="197" t="s">
        <v>62</v>
      </c>
      <c r="J12" s="197"/>
      <c r="K12" s="197"/>
      <c r="L12" s="197"/>
      <c r="M12" s="197"/>
      <c r="N12" s="197"/>
      <c r="O12" s="197"/>
      <c r="P12" s="197"/>
      <c r="Q12" s="197" t="s">
        <v>206</v>
      </c>
      <c r="R12" s="197"/>
      <c r="S12" s="197"/>
      <c r="T12" s="197" t="s">
        <v>268</v>
      </c>
      <c r="U12" s="197"/>
      <c r="V12" s="197"/>
      <c r="W12" s="197"/>
      <c r="X12" s="197"/>
      <c r="Y12" s="197" t="s">
        <v>331</v>
      </c>
      <c r="Z12" s="197"/>
      <c r="AA12" s="197"/>
      <c r="AB12" s="197"/>
      <c r="AC12" s="197"/>
      <c r="AD12" s="197" t="s">
        <v>495</v>
      </c>
      <c r="AE12" s="197"/>
      <c r="AF12" s="197"/>
      <c r="AG12" s="197"/>
      <c r="AH12" s="197" t="s">
        <v>894</v>
      </c>
      <c r="AI12" s="197" t="s">
        <v>549</v>
      </c>
    </row>
    <row r="13" spans="1:35" ht="15">
      <c r="A13" s="197"/>
      <c r="B13" s="197" t="s">
        <v>189</v>
      </c>
      <c r="C13" s="197"/>
      <c r="D13" s="197"/>
      <c r="E13" s="197"/>
      <c r="F13" s="197" t="s">
        <v>26</v>
      </c>
      <c r="G13" s="197" t="s">
        <v>406</v>
      </c>
      <c r="H13" s="197"/>
      <c r="I13" s="197" t="s">
        <v>64</v>
      </c>
      <c r="J13" s="197"/>
      <c r="K13" s="197"/>
      <c r="L13" s="197"/>
      <c r="M13" s="197"/>
      <c r="N13" s="197"/>
      <c r="O13" s="197"/>
      <c r="P13" s="197"/>
      <c r="Q13" s="197" t="s">
        <v>208</v>
      </c>
      <c r="R13" s="197"/>
      <c r="S13" s="197"/>
      <c r="T13" s="197" t="s">
        <v>270</v>
      </c>
      <c r="U13" s="197"/>
      <c r="V13" s="197"/>
      <c r="W13" s="197"/>
      <c r="X13" s="197"/>
      <c r="Y13" s="197" t="s">
        <v>333</v>
      </c>
      <c r="Z13" s="197"/>
      <c r="AA13" s="197"/>
      <c r="AB13" s="197"/>
      <c r="AC13" s="197"/>
      <c r="AD13" s="197"/>
      <c r="AE13" s="197"/>
      <c r="AF13" s="197"/>
      <c r="AG13" s="197"/>
      <c r="AH13" s="197" t="s">
        <v>903</v>
      </c>
      <c r="AI13" s="197" t="s">
        <v>544</v>
      </c>
    </row>
    <row r="14" spans="1:35" ht="15">
      <c r="A14" s="197"/>
      <c r="B14" s="197" t="s">
        <v>432</v>
      </c>
      <c r="C14" s="197"/>
      <c r="D14" s="197"/>
      <c r="E14" s="197"/>
      <c r="F14" s="197" t="s">
        <v>28</v>
      </c>
      <c r="G14" s="197" t="s">
        <v>390</v>
      </c>
      <c r="H14" s="197"/>
      <c r="I14" s="197" t="s">
        <v>76</v>
      </c>
      <c r="J14" s="197"/>
      <c r="K14" s="197"/>
      <c r="L14" s="197"/>
      <c r="M14" s="197"/>
      <c r="N14" s="197"/>
      <c r="O14" s="197"/>
      <c r="P14" s="197"/>
      <c r="Q14" s="197" t="s">
        <v>209</v>
      </c>
      <c r="R14" s="197"/>
      <c r="S14" s="197"/>
      <c r="T14" s="197" t="s">
        <v>272</v>
      </c>
      <c r="U14" s="197"/>
      <c r="V14" s="197"/>
      <c r="W14" s="197"/>
      <c r="X14" s="197"/>
      <c r="Y14" s="197" t="s">
        <v>339</v>
      </c>
      <c r="Z14" s="197"/>
      <c r="AA14" s="197"/>
      <c r="AB14" s="197"/>
      <c r="AC14" s="197"/>
      <c r="AD14" s="197"/>
      <c r="AE14" s="197"/>
      <c r="AF14" s="197"/>
      <c r="AG14" s="197"/>
      <c r="AH14" s="199" t="s">
        <v>522</v>
      </c>
      <c r="AI14" s="197" t="s">
        <v>553</v>
      </c>
    </row>
    <row r="15" spans="1:35" ht="15">
      <c r="A15" s="197"/>
      <c r="B15" s="197" t="s">
        <v>234</v>
      </c>
      <c r="C15" s="197"/>
      <c r="D15" s="197"/>
      <c r="E15" s="197"/>
      <c r="F15" s="197"/>
      <c r="G15" s="197" t="s">
        <v>408</v>
      </c>
      <c r="H15" s="197"/>
      <c r="I15" s="197" t="s">
        <v>74</v>
      </c>
      <c r="J15" s="197"/>
      <c r="K15" s="197"/>
      <c r="L15" s="197"/>
      <c r="M15" s="197"/>
      <c r="N15" s="197"/>
      <c r="O15" s="197"/>
      <c r="P15" s="197"/>
      <c r="Q15" s="197" t="s">
        <v>211</v>
      </c>
      <c r="R15" s="197"/>
      <c r="S15" s="197"/>
      <c r="T15" s="197" t="s">
        <v>276</v>
      </c>
      <c r="U15" s="197"/>
      <c r="V15" s="197"/>
      <c r="W15" s="197"/>
      <c r="X15" s="197"/>
      <c r="Y15" s="197" t="s">
        <v>369</v>
      </c>
      <c r="Z15" s="197"/>
      <c r="AA15" s="197"/>
      <c r="AB15" s="197"/>
      <c r="AC15" s="197"/>
      <c r="AD15" s="197"/>
      <c r="AE15" s="197"/>
      <c r="AF15" s="197"/>
      <c r="AG15" s="197"/>
      <c r="AH15" s="199" t="s">
        <v>508</v>
      </c>
      <c r="AI15" s="197" t="s">
        <v>552</v>
      </c>
    </row>
    <row r="16" spans="1:35" ht="15">
      <c r="A16" s="197"/>
      <c r="B16" s="197" t="s">
        <v>241</v>
      </c>
      <c r="C16" s="197"/>
      <c r="D16" s="197"/>
      <c r="E16" s="197"/>
      <c r="F16" s="197"/>
      <c r="G16" s="197" t="s">
        <v>392</v>
      </c>
      <c r="H16" s="197"/>
      <c r="I16" s="197" t="s">
        <v>80</v>
      </c>
      <c r="J16" s="197"/>
      <c r="K16" s="197"/>
      <c r="L16" s="197"/>
      <c r="M16" s="197"/>
      <c r="N16" s="197"/>
      <c r="O16" s="197"/>
      <c r="P16" s="197"/>
      <c r="Q16" s="197" t="s">
        <v>213</v>
      </c>
      <c r="R16" s="197"/>
      <c r="S16" s="197"/>
      <c r="T16" s="197" t="s">
        <v>274</v>
      </c>
      <c r="U16" s="197"/>
      <c r="V16" s="197"/>
      <c r="W16" s="197"/>
      <c r="X16" s="197"/>
      <c r="Y16" s="197" t="s">
        <v>351</v>
      </c>
      <c r="Z16" s="197"/>
      <c r="AA16" s="197"/>
      <c r="AB16" s="197"/>
      <c r="AC16" s="197"/>
      <c r="AD16" s="197"/>
      <c r="AE16" s="197"/>
      <c r="AF16" s="197"/>
      <c r="AG16" s="197"/>
      <c r="AH16" s="199" t="s">
        <v>524</v>
      </c>
      <c r="AI16" s="197" t="s">
        <v>1235</v>
      </c>
    </row>
    <row r="17" spans="1:35" ht="15">
      <c r="A17" s="197"/>
      <c r="B17" s="197" t="s">
        <v>294</v>
      </c>
      <c r="C17" s="197"/>
      <c r="D17" s="197"/>
      <c r="E17" s="197"/>
      <c r="F17" s="197"/>
      <c r="G17" s="197" t="s">
        <v>394</v>
      </c>
      <c r="H17" s="197"/>
      <c r="I17" s="197" t="s">
        <v>82</v>
      </c>
      <c r="J17" s="197"/>
      <c r="K17" s="197"/>
      <c r="L17" s="197"/>
      <c r="M17" s="197"/>
      <c r="N17" s="197"/>
      <c r="O17" s="197"/>
      <c r="P17" s="197"/>
      <c r="Q17" s="197" t="s">
        <v>215</v>
      </c>
      <c r="R17" s="197"/>
      <c r="S17" s="197"/>
      <c r="T17" s="197" t="s">
        <v>373</v>
      </c>
      <c r="U17" s="197"/>
      <c r="V17" s="197"/>
      <c r="W17" s="197"/>
      <c r="X17" s="197"/>
      <c r="Y17" s="197" t="s">
        <v>371</v>
      </c>
      <c r="Z17" s="197"/>
      <c r="AA17" s="197"/>
      <c r="AB17" s="197"/>
      <c r="AC17" s="197"/>
      <c r="AD17" s="197"/>
      <c r="AE17" s="197"/>
      <c r="AF17" s="197"/>
      <c r="AG17" s="197"/>
      <c r="AH17" s="199" t="s">
        <v>540</v>
      </c>
      <c r="AI17" s="197" t="s">
        <v>1236</v>
      </c>
    </row>
    <row r="18" spans="1:35" ht="15">
      <c r="A18" s="197"/>
      <c r="B18" s="197" t="s">
        <v>303</v>
      </c>
      <c r="C18" s="197"/>
      <c r="D18" s="197"/>
      <c r="E18" s="197"/>
      <c r="F18" s="197"/>
      <c r="G18" s="197" t="s">
        <v>396</v>
      </c>
      <c r="H18" s="197"/>
      <c r="I18" s="197" t="s">
        <v>86</v>
      </c>
      <c r="J18" s="197"/>
      <c r="K18" s="197"/>
      <c r="L18" s="197"/>
      <c r="M18" s="197"/>
      <c r="N18" s="197"/>
      <c r="O18" s="197"/>
      <c r="P18" s="197"/>
      <c r="Q18" s="197" t="s">
        <v>217</v>
      </c>
      <c r="R18" s="197"/>
      <c r="S18" s="197"/>
      <c r="T18" s="197" t="s">
        <v>278</v>
      </c>
      <c r="U18" s="197"/>
      <c r="V18" s="197"/>
      <c r="W18" s="197"/>
      <c r="X18" s="197"/>
      <c r="Y18" s="197" t="s">
        <v>353</v>
      </c>
      <c r="Z18" s="197"/>
      <c r="AA18" s="197"/>
      <c r="AB18" s="197"/>
      <c r="AC18" s="197"/>
      <c r="AD18" s="197"/>
      <c r="AE18" s="197"/>
      <c r="AF18" s="197"/>
      <c r="AG18" s="197"/>
      <c r="AH18" s="199" t="s">
        <v>528</v>
      </c>
      <c r="AI18" s="220" t="s">
        <v>1237</v>
      </c>
    </row>
    <row r="19" spans="1:35" ht="15">
      <c r="A19" s="197"/>
      <c r="B19" s="197" t="s">
        <v>306</v>
      </c>
      <c r="C19" s="197"/>
      <c r="D19" s="197"/>
      <c r="E19" s="197"/>
      <c r="F19" s="197"/>
      <c r="G19" s="197" t="s">
        <v>410</v>
      </c>
      <c r="H19" s="197"/>
      <c r="I19" s="197" t="s">
        <v>92</v>
      </c>
      <c r="J19" s="197"/>
      <c r="K19" s="197"/>
      <c r="L19" s="197"/>
      <c r="M19" s="197"/>
      <c r="N19" s="197"/>
      <c r="O19" s="197"/>
      <c r="P19" s="197"/>
      <c r="Q19" s="197" t="s">
        <v>219</v>
      </c>
      <c r="R19" s="197"/>
      <c r="S19" s="197"/>
      <c r="T19" s="197" t="s">
        <v>282</v>
      </c>
      <c r="U19" s="197"/>
      <c r="V19" s="197"/>
      <c r="W19" s="197"/>
      <c r="X19" s="197"/>
      <c r="Y19" s="197" t="s">
        <v>363</v>
      </c>
      <c r="Z19" s="197"/>
      <c r="AA19" s="197"/>
      <c r="AB19" s="197"/>
      <c r="AC19" s="197"/>
      <c r="AD19" s="197"/>
      <c r="AE19" s="197"/>
      <c r="AF19" s="197"/>
      <c r="AG19" s="197"/>
      <c r="AH19" s="199" t="s">
        <v>516</v>
      </c>
      <c r="AI19" s="197" t="s">
        <v>1238</v>
      </c>
    </row>
    <row r="20" spans="1:35" ht="15">
      <c r="A20" s="197"/>
      <c r="B20" s="197" t="s">
        <v>308</v>
      </c>
      <c r="C20" s="197"/>
      <c r="D20" s="197"/>
      <c r="E20" s="197"/>
      <c r="F20" s="197"/>
      <c r="G20" s="197"/>
      <c r="H20" s="197"/>
      <c r="I20" s="197" t="s">
        <v>47</v>
      </c>
      <c r="J20" s="197"/>
      <c r="K20" s="197"/>
      <c r="L20" s="197"/>
      <c r="M20" s="197"/>
      <c r="N20" s="197"/>
      <c r="O20" s="197"/>
      <c r="P20" s="197"/>
      <c r="Q20" s="197" t="s">
        <v>221</v>
      </c>
      <c r="R20" s="197"/>
      <c r="S20" s="197"/>
      <c r="T20" s="197" t="s">
        <v>284</v>
      </c>
      <c r="U20" s="197"/>
      <c r="V20" s="197"/>
      <c r="W20" s="197"/>
      <c r="X20" s="197"/>
      <c r="Y20" s="197" t="s">
        <v>325</v>
      </c>
      <c r="Z20" s="197"/>
      <c r="AA20" s="197"/>
      <c r="AB20" s="197"/>
      <c r="AC20" s="197"/>
      <c r="AD20" s="197"/>
      <c r="AE20" s="197"/>
      <c r="AF20" s="197"/>
      <c r="AG20" s="197"/>
      <c r="AH20" s="197" t="s">
        <v>899</v>
      </c>
      <c r="AI20" s="197" t="s">
        <v>1239</v>
      </c>
    </row>
    <row r="21" spans="1:35" ht="15">
      <c r="A21" s="197"/>
      <c r="B21" s="197" t="s">
        <v>316</v>
      </c>
      <c r="C21" s="197"/>
      <c r="D21" s="197"/>
      <c r="E21" s="197"/>
      <c r="F21" s="197"/>
      <c r="G21" s="197"/>
      <c r="H21" s="197"/>
      <c r="I21" s="197" t="s">
        <v>60</v>
      </c>
      <c r="J21" s="197"/>
      <c r="K21" s="197"/>
      <c r="L21" s="197"/>
      <c r="M21" s="197"/>
      <c r="N21" s="197"/>
      <c r="O21" s="197"/>
      <c r="P21" s="197"/>
      <c r="Q21" s="197" t="s">
        <v>233</v>
      </c>
      <c r="R21" s="197"/>
      <c r="S21" s="197"/>
      <c r="T21" s="197" t="s">
        <v>286</v>
      </c>
      <c r="U21" s="197"/>
      <c r="V21" s="197"/>
      <c r="W21" s="197"/>
      <c r="X21" s="197"/>
      <c r="Y21" s="197" t="s">
        <v>349</v>
      </c>
      <c r="Z21" s="197"/>
      <c r="AA21" s="197"/>
      <c r="AB21" s="197"/>
      <c r="AC21" s="197"/>
      <c r="AD21" s="197"/>
      <c r="AE21" s="197"/>
      <c r="AF21" s="197"/>
      <c r="AG21" s="197"/>
      <c r="AH21" s="197" t="s">
        <v>885</v>
      </c>
      <c r="AI21" s="197"/>
    </row>
    <row r="22" spans="1:35" ht="15">
      <c r="A22" s="197"/>
      <c r="B22" s="197"/>
      <c r="C22" s="197"/>
      <c r="D22" s="197"/>
      <c r="E22" s="197"/>
      <c r="F22" s="197"/>
      <c r="G22" s="197"/>
      <c r="H22" s="197"/>
      <c r="I22" s="197" t="s">
        <v>94</v>
      </c>
      <c r="J22" s="197"/>
      <c r="K22" s="197"/>
      <c r="L22" s="197"/>
      <c r="M22" s="197"/>
      <c r="N22" s="197"/>
      <c r="O22" s="197"/>
      <c r="P22" s="197"/>
      <c r="Q22" s="197" t="s">
        <v>223</v>
      </c>
      <c r="R22" s="197"/>
      <c r="S22" s="197"/>
      <c r="T22" s="197" t="s">
        <v>242</v>
      </c>
      <c r="U22" s="197"/>
      <c r="V22" s="197"/>
      <c r="W22" s="197"/>
      <c r="X22" s="197"/>
      <c r="Y22" s="197" t="s">
        <v>345</v>
      </c>
      <c r="Z22" s="197"/>
      <c r="AA22" s="197"/>
      <c r="AB22" s="197"/>
      <c r="AC22" s="197"/>
      <c r="AD22" s="197"/>
      <c r="AE22" s="197"/>
      <c r="AF22" s="197"/>
      <c r="AG22" s="197"/>
      <c r="AH22" s="197" t="s">
        <v>898</v>
      </c>
      <c r="AI22" s="197"/>
    </row>
    <row r="23" spans="1:35" ht="15">
      <c r="A23" s="197"/>
      <c r="B23" s="197"/>
      <c r="C23" s="197"/>
      <c r="D23" s="197"/>
      <c r="E23" s="197"/>
      <c r="F23" s="197"/>
      <c r="G23" s="197"/>
      <c r="H23" s="197"/>
      <c r="I23" s="197" t="s">
        <v>96</v>
      </c>
      <c r="J23" s="197"/>
      <c r="K23" s="197"/>
      <c r="L23" s="197"/>
      <c r="M23" s="197"/>
      <c r="N23" s="197"/>
      <c r="O23" s="197"/>
      <c r="P23" s="197"/>
      <c r="Q23" s="197" t="s">
        <v>225</v>
      </c>
      <c r="R23" s="197"/>
      <c r="S23" s="197"/>
      <c r="T23" s="197" t="s">
        <v>246</v>
      </c>
      <c r="U23" s="197"/>
      <c r="V23" s="197"/>
      <c r="W23" s="197"/>
      <c r="X23" s="197"/>
      <c r="Y23" s="197" t="s">
        <v>359</v>
      </c>
      <c r="Z23" s="197"/>
      <c r="AA23" s="197"/>
      <c r="AB23" s="197"/>
      <c r="AC23" s="197"/>
      <c r="AD23" s="197"/>
      <c r="AE23" s="197"/>
      <c r="AF23" s="197"/>
      <c r="AG23" s="197"/>
      <c r="AH23" s="199" t="s">
        <v>538</v>
      </c>
      <c r="AI23" s="197"/>
    </row>
    <row r="24" spans="1:35" ht="15">
      <c r="A24" s="197"/>
      <c r="B24" s="197"/>
      <c r="C24" s="197"/>
      <c r="D24" s="197"/>
      <c r="E24" s="197"/>
      <c r="F24" s="197"/>
      <c r="G24" s="197"/>
      <c r="H24" s="197"/>
      <c r="I24" s="197" t="s">
        <v>98</v>
      </c>
      <c r="J24" s="197"/>
      <c r="K24" s="197"/>
      <c r="L24" s="197"/>
      <c r="M24" s="197"/>
      <c r="N24" s="197"/>
      <c r="O24" s="197"/>
      <c r="P24" s="197"/>
      <c r="Q24" s="197" t="s">
        <v>229</v>
      </c>
      <c r="R24" s="197"/>
      <c r="S24" s="197"/>
      <c r="T24" s="197" t="s">
        <v>254</v>
      </c>
      <c r="U24" s="197"/>
      <c r="V24" s="197"/>
      <c r="W24" s="197"/>
      <c r="X24" s="197"/>
      <c r="Y24" s="197" t="s">
        <v>355</v>
      </c>
      <c r="Z24" s="197"/>
      <c r="AA24" s="197"/>
      <c r="AB24" s="197"/>
      <c r="AC24" s="197"/>
      <c r="AD24" s="197"/>
      <c r="AE24" s="197"/>
      <c r="AF24" s="197"/>
      <c r="AG24" s="197"/>
      <c r="AH24" s="199" t="s">
        <v>509</v>
      </c>
      <c r="AI24" s="197"/>
    </row>
    <row r="25" spans="1:35" ht="15">
      <c r="A25" s="197"/>
      <c r="B25" s="197"/>
      <c r="C25" s="197"/>
      <c r="D25" s="197"/>
      <c r="E25" s="197"/>
      <c r="F25" s="197"/>
      <c r="G25" s="197"/>
      <c r="H25" s="197"/>
      <c r="I25" s="197" t="s">
        <v>58</v>
      </c>
      <c r="J25" s="197"/>
      <c r="K25" s="197"/>
      <c r="L25" s="197"/>
      <c r="M25" s="197"/>
      <c r="N25" s="197"/>
      <c r="O25" s="197"/>
      <c r="P25" s="197"/>
      <c r="Q25" s="197" t="s">
        <v>231</v>
      </c>
      <c r="R25" s="197"/>
      <c r="S25" s="197"/>
      <c r="T25" s="197" t="s">
        <v>256</v>
      </c>
      <c r="U25" s="197"/>
      <c r="V25" s="197"/>
      <c r="W25" s="197"/>
      <c r="X25" s="197"/>
      <c r="Y25" s="197" t="s">
        <v>357</v>
      </c>
      <c r="Z25" s="197"/>
      <c r="AA25" s="197"/>
      <c r="AB25" s="197"/>
      <c r="AC25" s="197"/>
      <c r="AD25" s="197"/>
      <c r="AE25" s="197"/>
      <c r="AF25" s="197"/>
      <c r="AG25" s="197"/>
      <c r="AH25" s="197" t="s">
        <v>889</v>
      </c>
      <c r="AI25" s="197"/>
    </row>
    <row r="26" spans="1:35" ht="15">
      <c r="A26" s="197"/>
      <c r="B26" s="197"/>
      <c r="C26" s="197"/>
      <c r="D26" s="197"/>
      <c r="E26" s="197"/>
      <c r="F26" s="197"/>
      <c r="G26" s="197"/>
      <c r="H26" s="197"/>
      <c r="I26" s="197" t="s">
        <v>70</v>
      </c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 t="s">
        <v>280</v>
      </c>
      <c r="U26" s="197"/>
      <c r="V26" s="197"/>
      <c r="W26" s="197"/>
      <c r="X26" s="197"/>
      <c r="Y26" s="197" t="s">
        <v>323</v>
      </c>
      <c r="Z26" s="197"/>
      <c r="AA26" s="197"/>
      <c r="AB26" s="197"/>
      <c r="AC26" s="197"/>
      <c r="AD26" s="197"/>
      <c r="AE26" s="197"/>
      <c r="AF26" s="197"/>
      <c r="AG26" s="197"/>
      <c r="AH26" s="197" t="s">
        <v>909</v>
      </c>
      <c r="AI26" s="197"/>
    </row>
    <row r="27" spans="1:35" ht="15">
      <c r="A27" s="197"/>
      <c r="B27" s="197"/>
      <c r="C27" s="197"/>
      <c r="D27" s="197"/>
      <c r="E27" s="197"/>
      <c r="F27" s="197"/>
      <c r="G27" s="197"/>
      <c r="H27" s="197"/>
      <c r="I27" s="197" t="s">
        <v>84</v>
      </c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 t="s">
        <v>288</v>
      </c>
      <c r="U27" s="197"/>
      <c r="V27" s="197"/>
      <c r="W27" s="197"/>
      <c r="X27" s="197"/>
      <c r="Y27" s="197" t="s">
        <v>317</v>
      </c>
      <c r="Z27" s="197"/>
      <c r="AA27" s="197"/>
      <c r="AB27" s="197"/>
      <c r="AC27" s="197"/>
      <c r="AD27" s="197"/>
      <c r="AE27" s="197"/>
      <c r="AF27" s="197"/>
      <c r="AG27" s="197"/>
      <c r="AH27" s="197" t="s">
        <v>893</v>
      </c>
      <c r="AI27" s="197"/>
    </row>
    <row r="28" spans="1:35" ht="15">
      <c r="A28" s="197"/>
      <c r="B28" s="197"/>
      <c r="C28" s="197"/>
      <c r="D28" s="197"/>
      <c r="E28" s="197"/>
      <c r="F28" s="197"/>
      <c r="G28" s="197"/>
      <c r="H28" s="197"/>
      <c r="I28" s="197" t="s">
        <v>106</v>
      </c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 t="s">
        <v>361</v>
      </c>
      <c r="Z28" s="197"/>
      <c r="AA28" s="197"/>
      <c r="AB28" s="197"/>
      <c r="AC28" s="197"/>
      <c r="AD28" s="197"/>
      <c r="AE28" s="197"/>
      <c r="AF28" s="197"/>
      <c r="AG28" s="197"/>
      <c r="AH28" s="197" t="s">
        <v>895</v>
      </c>
      <c r="AI28" s="197"/>
    </row>
    <row r="29" spans="1:35" ht="15">
      <c r="A29" s="197"/>
      <c r="B29" s="197"/>
      <c r="C29" s="197"/>
      <c r="D29" s="197"/>
      <c r="E29" s="197"/>
      <c r="F29" s="197"/>
      <c r="G29" s="197"/>
      <c r="H29" s="197"/>
      <c r="I29" s="197" t="s">
        <v>110</v>
      </c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 t="s">
        <v>365</v>
      </c>
      <c r="Z29" s="197"/>
      <c r="AA29" s="197"/>
      <c r="AB29" s="197"/>
      <c r="AC29" s="197"/>
      <c r="AD29" s="197"/>
      <c r="AE29" s="197"/>
      <c r="AF29" s="197"/>
      <c r="AG29" s="197"/>
      <c r="AH29" s="199" t="s">
        <v>529</v>
      </c>
      <c r="AI29" s="197"/>
    </row>
    <row r="30" spans="1:35" ht="15">
      <c r="A30" s="197"/>
      <c r="B30" s="197"/>
      <c r="C30" s="197"/>
      <c r="D30" s="197"/>
      <c r="E30" s="197"/>
      <c r="F30" s="197"/>
      <c r="G30" s="197"/>
      <c r="H30" s="197"/>
      <c r="I30" s="197" t="s">
        <v>120</v>
      </c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9" t="s">
        <v>520</v>
      </c>
      <c r="AI30" s="197"/>
    </row>
    <row r="31" spans="1:35" ht="15">
      <c r="A31" s="197"/>
      <c r="B31" s="197"/>
      <c r="C31" s="197"/>
      <c r="D31" s="197"/>
      <c r="E31" s="197"/>
      <c r="F31" s="197"/>
      <c r="G31" s="197"/>
      <c r="H31" s="197"/>
      <c r="I31" s="197" t="s">
        <v>134</v>
      </c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9" t="s">
        <v>539</v>
      </c>
      <c r="AI31" s="197"/>
    </row>
    <row r="32" spans="1:35" ht="15">
      <c r="A32" s="197"/>
      <c r="B32" s="197"/>
      <c r="C32" s="197"/>
      <c r="D32" s="197"/>
      <c r="E32" s="197"/>
      <c r="F32" s="197"/>
      <c r="G32" s="197"/>
      <c r="H32" s="197"/>
      <c r="I32" s="197" t="s">
        <v>142</v>
      </c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 t="s">
        <v>880</v>
      </c>
      <c r="AI32" s="197"/>
    </row>
    <row r="33" spans="1:35" ht="15">
      <c r="A33" s="197"/>
      <c r="B33" s="197"/>
      <c r="C33" s="197"/>
      <c r="D33" s="197"/>
      <c r="E33" s="197"/>
      <c r="F33" s="197"/>
      <c r="G33" s="197"/>
      <c r="H33" s="197"/>
      <c r="I33" s="197" t="s">
        <v>140</v>
      </c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 t="s">
        <v>887</v>
      </c>
      <c r="AI33" s="197"/>
    </row>
    <row r="34" spans="1:35" ht="15">
      <c r="A34" s="197"/>
      <c r="B34" s="197"/>
      <c r="C34" s="197"/>
      <c r="D34" s="197"/>
      <c r="E34" s="197"/>
      <c r="F34" s="197"/>
      <c r="G34" s="197"/>
      <c r="H34" s="197"/>
      <c r="I34" s="197" t="s">
        <v>72</v>
      </c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9" t="s">
        <v>878</v>
      </c>
      <c r="AI34" s="197"/>
    </row>
    <row r="35" spans="1:35" ht="15">
      <c r="A35" s="197"/>
      <c r="B35" s="197"/>
      <c r="C35" s="197"/>
      <c r="D35" s="197"/>
      <c r="E35" s="197"/>
      <c r="F35" s="197"/>
      <c r="G35" s="197"/>
      <c r="H35" s="197"/>
      <c r="I35" s="197" t="s">
        <v>88</v>
      </c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 t="s">
        <v>896</v>
      </c>
      <c r="AI35" s="197"/>
    </row>
    <row r="36" spans="1:35" ht="15">
      <c r="A36" s="197"/>
      <c r="B36" s="197"/>
      <c r="C36" s="197"/>
      <c r="D36" s="197"/>
      <c r="E36" s="197"/>
      <c r="F36" s="197"/>
      <c r="G36" s="197"/>
      <c r="H36" s="197"/>
      <c r="I36" s="197" t="s">
        <v>90</v>
      </c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9" t="s">
        <v>521</v>
      </c>
      <c r="AI36" s="197"/>
    </row>
    <row r="37" spans="1:35" ht="15">
      <c r="A37" s="197"/>
      <c r="B37" s="197"/>
      <c r="C37" s="197"/>
      <c r="D37" s="197"/>
      <c r="E37" s="197"/>
      <c r="F37" s="197"/>
      <c r="G37" s="197"/>
      <c r="H37" s="197"/>
      <c r="I37" s="197" t="s">
        <v>104</v>
      </c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 t="s">
        <v>908</v>
      </c>
      <c r="AI37" s="197"/>
    </row>
    <row r="38" spans="1:35" ht="15">
      <c r="A38" s="197"/>
      <c r="B38" s="197"/>
      <c r="C38" s="197"/>
      <c r="D38" s="197"/>
      <c r="E38" s="197"/>
      <c r="F38" s="197"/>
      <c r="G38" s="197"/>
      <c r="H38" s="197"/>
      <c r="I38" s="197" t="s">
        <v>108</v>
      </c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 t="s">
        <v>906</v>
      </c>
      <c r="AI38" s="197"/>
    </row>
    <row r="39" spans="1:35" ht="15">
      <c r="A39" s="197"/>
      <c r="B39" s="197"/>
      <c r="C39" s="197"/>
      <c r="D39" s="197"/>
      <c r="E39" s="197"/>
      <c r="F39" s="197"/>
      <c r="G39" s="197"/>
      <c r="H39" s="197"/>
      <c r="I39" s="197" t="s">
        <v>102</v>
      </c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9" t="s">
        <v>530</v>
      </c>
      <c r="AI39" s="197"/>
    </row>
    <row r="40" spans="1:35" ht="15">
      <c r="A40" s="197"/>
      <c r="B40" s="197"/>
      <c r="C40" s="197"/>
      <c r="D40" s="197"/>
      <c r="E40" s="197"/>
      <c r="F40" s="197"/>
      <c r="G40" s="197"/>
      <c r="H40" s="197"/>
      <c r="I40" s="197" t="s">
        <v>146</v>
      </c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 t="s">
        <v>891</v>
      </c>
      <c r="AI40" s="197"/>
    </row>
    <row r="41" spans="1:35" ht="15">
      <c r="A41" s="197"/>
      <c r="B41" s="197"/>
      <c r="C41" s="197"/>
      <c r="D41" s="197"/>
      <c r="E41" s="197"/>
      <c r="F41" s="197"/>
      <c r="G41" s="197"/>
      <c r="H41" s="197"/>
      <c r="I41" s="197" t="s">
        <v>112</v>
      </c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9" t="s">
        <v>510</v>
      </c>
      <c r="AI41" s="197"/>
    </row>
    <row r="42" spans="1:35" ht="15">
      <c r="A42" s="197"/>
      <c r="B42" s="197"/>
      <c r="C42" s="197"/>
      <c r="D42" s="197"/>
      <c r="E42" s="197"/>
      <c r="F42" s="197"/>
      <c r="G42" s="197"/>
      <c r="H42" s="197"/>
      <c r="I42" s="197" t="s">
        <v>114</v>
      </c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 t="s">
        <v>912</v>
      </c>
      <c r="AI42" s="197"/>
    </row>
    <row r="43" spans="1:35" ht="15">
      <c r="A43" s="197"/>
      <c r="B43" s="197"/>
      <c r="C43" s="197"/>
      <c r="D43" s="197"/>
      <c r="E43" s="197"/>
      <c r="F43" s="197"/>
      <c r="G43" s="197"/>
      <c r="H43" s="197"/>
      <c r="I43" s="197" t="s">
        <v>116</v>
      </c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9" t="s">
        <v>876</v>
      </c>
      <c r="AI43" s="197"/>
    </row>
    <row r="44" spans="1:35" ht="15">
      <c r="A44" s="197"/>
      <c r="B44" s="197"/>
      <c r="C44" s="197"/>
      <c r="D44" s="197"/>
      <c r="E44" s="197"/>
      <c r="F44" s="197"/>
      <c r="G44" s="197"/>
      <c r="H44" s="197"/>
      <c r="I44" s="197" t="s">
        <v>118</v>
      </c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 t="s">
        <v>913</v>
      </c>
      <c r="AI44" s="197"/>
    </row>
    <row r="45" spans="1:35" ht="15">
      <c r="A45" s="197"/>
      <c r="B45" s="197"/>
      <c r="C45" s="197"/>
      <c r="D45" s="197"/>
      <c r="E45" s="197"/>
      <c r="F45" s="197"/>
      <c r="G45" s="197"/>
      <c r="H45" s="197"/>
      <c r="I45" s="197" t="s">
        <v>122</v>
      </c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 t="s">
        <v>914</v>
      </c>
      <c r="AI45" s="197"/>
    </row>
    <row r="46" spans="1:35" ht="15">
      <c r="A46" s="197"/>
      <c r="B46" s="197"/>
      <c r="C46" s="197"/>
      <c r="D46" s="197"/>
      <c r="E46" s="197"/>
      <c r="F46" s="197"/>
      <c r="G46" s="197"/>
      <c r="H46" s="197"/>
      <c r="I46" s="197" t="s">
        <v>126</v>
      </c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 t="s">
        <v>905</v>
      </c>
      <c r="AI46" s="197"/>
    </row>
    <row r="47" spans="1:35" ht="15">
      <c r="A47" s="197"/>
      <c r="B47" s="197"/>
      <c r="C47" s="197"/>
      <c r="D47" s="197"/>
      <c r="E47" s="197"/>
      <c r="F47" s="197"/>
      <c r="G47" s="197"/>
      <c r="H47" s="197"/>
      <c r="I47" s="197" t="s">
        <v>128</v>
      </c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9" t="s">
        <v>517</v>
      </c>
      <c r="AI47" s="197"/>
    </row>
    <row r="48" spans="1:35" ht="15">
      <c r="A48" s="197"/>
      <c r="B48" s="197"/>
      <c r="C48" s="197"/>
      <c r="D48" s="197"/>
      <c r="E48" s="197"/>
      <c r="F48" s="197"/>
      <c r="G48" s="197"/>
      <c r="H48" s="197"/>
      <c r="I48" s="197" t="s">
        <v>100</v>
      </c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 t="s">
        <v>886</v>
      </c>
      <c r="AI48" s="197"/>
    </row>
    <row r="49" spans="1:35" ht="15">
      <c r="A49" s="197"/>
      <c r="B49" s="197"/>
      <c r="C49" s="197"/>
      <c r="D49" s="197"/>
      <c r="E49" s="197"/>
      <c r="F49" s="197"/>
      <c r="G49" s="197"/>
      <c r="H49" s="197"/>
      <c r="I49" s="197" t="s">
        <v>136</v>
      </c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9" t="s">
        <v>511</v>
      </c>
      <c r="AI49" s="197"/>
    </row>
    <row r="50" spans="1:35" ht="15">
      <c r="A50" s="197"/>
      <c r="B50" s="197"/>
      <c r="C50" s="197"/>
      <c r="D50" s="197"/>
      <c r="E50" s="197"/>
      <c r="F50" s="197"/>
      <c r="G50" s="197"/>
      <c r="H50" s="197"/>
      <c r="I50" s="197" t="s">
        <v>138</v>
      </c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 t="s">
        <v>884</v>
      </c>
      <c r="AI50" s="197"/>
    </row>
    <row r="51" spans="1:35" ht="15">
      <c r="A51" s="197"/>
      <c r="B51" s="197"/>
      <c r="C51" s="197"/>
      <c r="D51" s="197"/>
      <c r="E51" s="197"/>
      <c r="F51" s="197"/>
      <c r="G51" s="197"/>
      <c r="H51" s="197"/>
      <c r="I51" s="197" t="s">
        <v>68</v>
      </c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9" t="s">
        <v>531</v>
      </c>
      <c r="AI51" s="197"/>
    </row>
    <row r="52" spans="1:35" ht="15">
      <c r="A52" s="197"/>
      <c r="B52" s="197"/>
      <c r="C52" s="197"/>
      <c r="D52" s="197"/>
      <c r="E52" s="197"/>
      <c r="F52" s="197"/>
      <c r="G52" s="197"/>
      <c r="H52" s="197"/>
      <c r="I52" s="197" t="s">
        <v>130</v>
      </c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 t="s">
        <v>897</v>
      </c>
      <c r="AI52" s="197"/>
    </row>
    <row r="53" spans="1:35" ht="15">
      <c r="A53" s="197"/>
      <c r="B53" s="197"/>
      <c r="C53" s="197"/>
      <c r="D53" s="197"/>
      <c r="E53" s="197"/>
      <c r="F53" s="197"/>
      <c r="G53" s="197"/>
      <c r="H53" s="197"/>
      <c r="I53" s="197" t="s">
        <v>78</v>
      </c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9" t="s">
        <v>512</v>
      </c>
      <c r="AI53" s="197"/>
    </row>
    <row r="54" spans="1:35" ht="15">
      <c r="A54" s="197"/>
      <c r="B54" s="197"/>
      <c r="C54" s="197"/>
      <c r="D54" s="197"/>
      <c r="E54" s="197"/>
      <c r="F54" s="197"/>
      <c r="G54" s="197"/>
      <c r="H54" s="197"/>
      <c r="I54" s="197" t="s">
        <v>144</v>
      </c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9" t="s">
        <v>523</v>
      </c>
      <c r="AI54" s="197"/>
    </row>
    <row r="55" spans="1:35" ht="15">
      <c r="A55" s="197"/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200" t="s">
        <v>879</v>
      </c>
      <c r="AI55" s="197"/>
    </row>
    <row r="56" spans="1:35" ht="15">
      <c r="A56" s="197"/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 t="s">
        <v>901</v>
      </c>
      <c r="AI56" s="197"/>
    </row>
    <row r="57" spans="1:35" ht="15">
      <c r="A57" s="197"/>
      <c r="B57" s="197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9" t="s">
        <v>532</v>
      </c>
      <c r="AI57" s="197"/>
    </row>
    <row r="58" spans="1:35" ht="15">
      <c r="A58" s="197"/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9" t="s">
        <v>535</v>
      </c>
      <c r="AI58" s="197"/>
    </row>
    <row r="59" spans="1:35" ht="15">
      <c r="A59" s="197"/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 t="s">
        <v>883</v>
      </c>
      <c r="AI59" s="197"/>
    </row>
    <row r="60" spans="1:35" ht="15">
      <c r="A60" s="197"/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9" t="s">
        <v>533</v>
      </c>
      <c r="AI60" s="197"/>
    </row>
    <row r="61" spans="1:35" ht="15">
      <c r="A61" s="197"/>
      <c r="B61" s="197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 t="s">
        <v>890</v>
      </c>
      <c r="AI61" s="197"/>
    </row>
    <row r="62" spans="1:35" ht="15">
      <c r="A62" s="197"/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 t="s">
        <v>904</v>
      </c>
      <c r="AI62" s="197"/>
    </row>
    <row r="63" spans="1:35" ht="15">
      <c r="A63" s="197"/>
      <c r="B63" s="197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 t="s">
        <v>888</v>
      </c>
      <c r="AI63" s="197"/>
    </row>
    <row r="64" spans="1:35" ht="15">
      <c r="A64" s="197"/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9" t="s">
        <v>513</v>
      </c>
      <c r="AI64" s="197"/>
    </row>
    <row r="65" spans="1:35" ht="15">
      <c r="A65" s="197"/>
      <c r="B65" s="197"/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9" t="s">
        <v>514</v>
      </c>
      <c r="AI65" s="197"/>
    </row>
    <row r="66" spans="1:35" ht="15">
      <c r="A66" s="197"/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9" t="s">
        <v>537</v>
      </c>
      <c r="AI66" s="197"/>
    </row>
    <row r="67" spans="1:35" ht="15">
      <c r="A67" s="197"/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9" t="s">
        <v>534</v>
      </c>
      <c r="AI67" s="197"/>
    </row>
    <row r="68" spans="1:35" ht="15">
      <c r="A68" s="197"/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9" t="s">
        <v>515</v>
      </c>
      <c r="AI68" s="197"/>
    </row>
    <row r="69" spans="1:35" ht="15">
      <c r="A69" s="197"/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9" t="s">
        <v>877</v>
      </c>
      <c r="AI69" s="197"/>
    </row>
    <row r="70" spans="1:35" ht="15">
      <c r="A70" s="197"/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 t="s">
        <v>910</v>
      </c>
      <c r="AI70" s="197"/>
    </row>
    <row r="71" spans="1:35" ht="15">
      <c r="A71" s="197"/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9" t="s">
        <v>525</v>
      </c>
      <c r="AI71" s="197"/>
    </row>
    <row r="72" spans="1:35" ht="15">
      <c r="A72" s="197"/>
      <c r="B72" s="197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 t="s">
        <v>881</v>
      </c>
      <c r="AI72" s="197"/>
    </row>
    <row r="73" spans="1:35" ht="15">
      <c r="A73" s="197"/>
      <c r="B73" s="197"/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 t="s">
        <v>900</v>
      </c>
      <c r="AI73" s="197"/>
    </row>
    <row r="74" spans="1:35" ht="15">
      <c r="A74" s="197"/>
      <c r="B74" s="197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  <c r="AA74" s="197"/>
      <c r="AB74" s="197"/>
      <c r="AC74" s="197"/>
      <c r="AD74" s="197"/>
      <c r="AE74" s="197"/>
      <c r="AF74" s="197"/>
      <c r="AG74" s="197"/>
      <c r="AH74" s="199" t="s">
        <v>542</v>
      </c>
      <c r="AI74" s="197"/>
    </row>
    <row r="75" spans="1:35" ht="15">
      <c r="A75" s="197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9" t="s">
        <v>541</v>
      </c>
      <c r="AI75" s="197"/>
    </row>
    <row r="76" spans="1:35" ht="15">
      <c r="A76" s="197"/>
      <c r="B76" s="197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 t="s">
        <v>907</v>
      </c>
      <c r="AI76" s="197"/>
    </row>
    <row r="77" spans="1:35" ht="15">
      <c r="A77" s="197"/>
      <c r="B77" s="197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  <c r="AA77" s="197"/>
      <c r="AB77" s="197"/>
      <c r="AC77" s="197"/>
      <c r="AD77" s="197"/>
      <c r="AE77" s="197"/>
      <c r="AF77" s="197"/>
      <c r="AG77" s="197"/>
      <c r="AH77" s="197" t="s">
        <v>882</v>
      </c>
      <c r="AI77" s="197"/>
    </row>
    <row r="78" spans="1:35" ht="15">
      <c r="A78" s="197"/>
      <c r="B78" s="197"/>
      <c r="C78" s="197"/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</row>
    <row r="79" spans="1:35" ht="15">
      <c r="A79" s="197"/>
      <c r="B79" s="197"/>
      <c r="C79" s="197"/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</row>
    <row r="80" spans="1:35" ht="15">
      <c r="A80" s="197"/>
      <c r="B80" s="197"/>
      <c r="C80" s="197"/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  <c r="AA80" s="197"/>
      <c r="AB80" s="197"/>
      <c r="AC80" s="197"/>
      <c r="AD80" s="197"/>
      <c r="AE80" s="197"/>
      <c r="AF80" s="197"/>
      <c r="AG80" s="197"/>
      <c r="AH80" s="197"/>
      <c r="AI80" s="197"/>
    </row>
    <row r="81" spans="1:35" ht="15">
      <c r="A81" s="197"/>
      <c r="B81" s="197"/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</row>
    <row r="82" spans="1:35" ht="15">
      <c r="A82" s="197"/>
      <c r="B82" s="197"/>
      <c r="C82" s="197"/>
      <c r="D82" s="197"/>
      <c r="E82" s="197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197"/>
      <c r="AG82" s="197"/>
      <c r="AH82" s="197"/>
      <c r="AI82" s="197"/>
    </row>
    <row r="83" spans="1:35" ht="15">
      <c r="A83" s="197"/>
      <c r="B83" s="197"/>
      <c r="C83" s="197"/>
      <c r="D83" s="197"/>
      <c r="E83" s="197"/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  <c r="AA83" s="197"/>
      <c r="AB83" s="197"/>
      <c r="AC83" s="197"/>
      <c r="AD83" s="197"/>
      <c r="AE83" s="197"/>
      <c r="AF83" s="197"/>
      <c r="AG83" s="197"/>
      <c r="AH83" s="197"/>
      <c r="AI83" s="197"/>
    </row>
    <row r="84" spans="1:35" ht="15">
      <c r="A84" s="197"/>
      <c r="B84" s="197"/>
      <c r="C84" s="197"/>
      <c r="D84" s="197"/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  <c r="AD84" s="197"/>
      <c r="AE84" s="197"/>
      <c r="AF84" s="197"/>
      <c r="AG84" s="197"/>
      <c r="AH84" s="197"/>
      <c r="AI84" s="197"/>
    </row>
    <row r="85" spans="1:35" ht="15">
      <c r="A85" s="197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</row>
    <row r="86" spans="1:35" ht="15">
      <c r="A86" s="197"/>
      <c r="B86" s="197"/>
      <c r="C86" s="197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</row>
    <row r="87" spans="1:35" ht="15">
      <c r="A87" s="197"/>
      <c r="B87" s="197"/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197"/>
      <c r="AB87" s="197"/>
      <c r="AC87" s="197"/>
      <c r="AD87" s="197"/>
      <c r="AE87" s="197"/>
      <c r="AF87" s="197"/>
      <c r="AG87" s="197"/>
      <c r="AH87" s="197"/>
      <c r="AI87" s="197"/>
    </row>
    <row r="88" spans="1:35" ht="15">
      <c r="A88" s="197"/>
      <c r="B88" s="197"/>
      <c r="C88" s="197"/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  <c r="AD88" s="197"/>
      <c r="AE88" s="197"/>
      <c r="AF88" s="197"/>
      <c r="AG88" s="197"/>
      <c r="AH88" s="197"/>
      <c r="AI88" s="197"/>
    </row>
    <row r="89" spans="1:35" ht="15">
      <c r="A89" s="197"/>
      <c r="B89" s="197"/>
      <c r="C89" s="197"/>
      <c r="D89" s="197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97"/>
      <c r="Z89" s="197"/>
      <c r="AA89" s="197"/>
      <c r="AB89" s="197"/>
      <c r="AC89" s="197"/>
      <c r="AD89" s="197"/>
      <c r="AE89" s="197"/>
      <c r="AF89" s="197"/>
      <c r="AG89" s="197"/>
      <c r="AH89" s="197"/>
      <c r="AI89" s="197"/>
    </row>
    <row r="90" spans="1:35" ht="15">
      <c r="A90" s="197"/>
      <c r="B90" s="197"/>
      <c r="C90" s="197"/>
      <c r="D90" s="197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  <c r="AF90" s="197"/>
      <c r="AG90" s="197"/>
      <c r="AH90" s="197"/>
      <c r="AI90" s="197"/>
    </row>
    <row r="91" spans="1:35" ht="15">
      <c r="A91" s="197"/>
      <c r="B91" s="197"/>
      <c r="C91" s="197"/>
      <c r="D91" s="197"/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97"/>
      <c r="Z91" s="197"/>
      <c r="AA91" s="197"/>
      <c r="AB91" s="197"/>
      <c r="AC91" s="197"/>
      <c r="AD91" s="197"/>
      <c r="AE91" s="197"/>
      <c r="AF91" s="197"/>
      <c r="AG91" s="197"/>
      <c r="AH91" s="197"/>
      <c r="AI91" s="197"/>
    </row>
    <row r="92" spans="1:35" ht="15">
      <c r="A92" s="197"/>
      <c r="B92" s="197"/>
      <c r="C92" s="197"/>
      <c r="D92" s="197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197"/>
    </row>
    <row r="93" spans="1:35" ht="15">
      <c r="A93" s="197"/>
      <c r="B93" s="197"/>
      <c r="C93" s="197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197"/>
    </row>
    <row r="94" spans="1:35" ht="15">
      <c r="A94" s="197"/>
      <c r="B94" s="197"/>
      <c r="C94" s="197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97"/>
      <c r="Z94" s="197"/>
      <c r="AA94" s="197"/>
      <c r="AB94" s="197"/>
      <c r="AC94" s="197"/>
      <c r="AD94" s="197"/>
      <c r="AE94" s="197"/>
      <c r="AF94" s="197"/>
      <c r="AG94" s="197"/>
      <c r="AH94" s="197"/>
      <c r="AI94" s="197"/>
    </row>
    <row r="95" spans="1:35" ht="15">
      <c r="A95" s="197"/>
      <c r="B95" s="197"/>
      <c r="C95" s="197"/>
      <c r="D95" s="197"/>
      <c r="E95" s="197"/>
      <c r="F95" s="197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  <c r="AA95" s="197"/>
      <c r="AB95" s="197"/>
      <c r="AC95" s="197"/>
      <c r="AD95" s="197"/>
      <c r="AE95" s="197"/>
      <c r="AF95" s="197"/>
      <c r="AG95" s="197"/>
      <c r="AH95" s="197"/>
      <c r="AI95" s="197"/>
    </row>
    <row r="96" spans="1:35" ht="15">
      <c r="A96" s="197"/>
      <c r="B96" s="197"/>
      <c r="C96" s="197"/>
      <c r="D96" s="197"/>
      <c r="E96" s="197"/>
      <c r="F96" s="197"/>
      <c r="G96" s="197"/>
      <c r="H96" s="197"/>
      <c r="I96" s="197"/>
      <c r="J96" s="197"/>
      <c r="K96" s="197"/>
      <c r="L96" s="197"/>
      <c r="M96" s="197"/>
      <c r="N96" s="197"/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197"/>
      <c r="Z96" s="197"/>
      <c r="AA96" s="197"/>
      <c r="AB96" s="197"/>
      <c r="AC96" s="197"/>
      <c r="AD96" s="197"/>
      <c r="AE96" s="197"/>
      <c r="AF96" s="197"/>
      <c r="AG96" s="197"/>
      <c r="AH96" s="197"/>
      <c r="AI96" s="197"/>
    </row>
    <row r="97" spans="1:35" ht="15">
      <c r="A97" s="197"/>
      <c r="B97" s="197"/>
      <c r="C97" s="197"/>
      <c r="D97" s="197"/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97"/>
      <c r="Z97" s="197"/>
      <c r="AA97" s="197"/>
      <c r="AB97" s="197"/>
      <c r="AC97" s="197"/>
      <c r="AD97" s="197"/>
      <c r="AE97" s="197"/>
      <c r="AF97" s="197"/>
      <c r="AG97" s="197"/>
      <c r="AH97" s="197"/>
      <c r="AI97" s="197"/>
    </row>
    <row r="98" spans="1:35" ht="15">
      <c r="A98" s="197"/>
      <c r="B98" s="197"/>
      <c r="C98" s="197"/>
      <c r="D98" s="197"/>
      <c r="E98" s="197"/>
      <c r="F98" s="197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  <c r="R98" s="197"/>
      <c r="S98" s="197"/>
      <c r="T98" s="197"/>
      <c r="U98" s="197"/>
      <c r="V98" s="197"/>
      <c r="W98" s="197"/>
      <c r="X98" s="197"/>
      <c r="Y98" s="197"/>
      <c r="Z98" s="197"/>
      <c r="AA98" s="197"/>
      <c r="AB98" s="197"/>
      <c r="AC98" s="197"/>
      <c r="AD98" s="197"/>
      <c r="AE98" s="197"/>
      <c r="AF98" s="197"/>
      <c r="AG98" s="197"/>
      <c r="AH98" s="197"/>
      <c r="AI98" s="197"/>
    </row>
    <row r="99" spans="1:35" ht="15">
      <c r="A99" s="197"/>
      <c r="B99" s="197"/>
      <c r="C99" s="197"/>
      <c r="D99" s="197"/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97"/>
      <c r="P99" s="197"/>
      <c r="Q99" s="197"/>
      <c r="R99" s="197"/>
      <c r="S99" s="197"/>
      <c r="T99" s="197"/>
      <c r="U99" s="197"/>
      <c r="V99" s="197"/>
      <c r="W99" s="197"/>
      <c r="X99" s="197"/>
      <c r="Y99" s="197"/>
      <c r="Z99" s="197"/>
      <c r="AA99" s="197"/>
      <c r="AB99" s="197"/>
      <c r="AC99" s="197"/>
      <c r="AD99" s="197"/>
      <c r="AE99" s="197"/>
      <c r="AF99" s="197"/>
      <c r="AG99" s="197"/>
      <c r="AH99" s="197"/>
      <c r="AI99" s="197"/>
    </row>
    <row r="100" spans="1:35" ht="15">
      <c r="A100" s="197"/>
      <c r="B100" s="197"/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  <c r="Z100" s="197"/>
      <c r="AA100" s="197"/>
      <c r="AB100" s="197"/>
      <c r="AC100" s="197"/>
      <c r="AD100" s="197"/>
      <c r="AE100" s="197"/>
      <c r="AF100" s="197"/>
      <c r="AG100" s="197"/>
      <c r="AH100" s="197"/>
      <c r="AI100" s="197"/>
    </row>
    <row r="101" spans="1:35" ht="15">
      <c r="A101" s="197"/>
      <c r="B101" s="197"/>
      <c r="C101" s="197"/>
      <c r="D101" s="197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  <c r="Y101" s="197"/>
      <c r="Z101" s="197"/>
      <c r="AA101" s="197"/>
      <c r="AB101" s="197"/>
      <c r="AC101" s="197"/>
      <c r="AD101" s="197"/>
      <c r="AE101" s="197"/>
      <c r="AF101" s="197"/>
      <c r="AG101" s="197"/>
      <c r="AH101" s="197"/>
      <c r="AI101" s="197"/>
    </row>
    <row r="102" spans="1:35" ht="15">
      <c r="A102" s="197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</row>
    <row r="103" spans="1:35" ht="15">
      <c r="A103" s="197"/>
      <c r="B103" s="197"/>
      <c r="C103" s="197"/>
      <c r="D103" s="197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</row>
    <row r="104" spans="1:35" ht="15">
      <c r="A104" s="197"/>
      <c r="B104" s="197"/>
      <c r="C104" s="197"/>
      <c r="D104" s="197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</row>
    <row r="105" spans="1:35" ht="15">
      <c r="A105" s="197"/>
      <c r="B105" s="197"/>
      <c r="C105" s="197"/>
      <c r="D105" s="197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97"/>
      <c r="Z105" s="197"/>
      <c r="AA105" s="197"/>
      <c r="AB105" s="197"/>
      <c r="AC105" s="197"/>
      <c r="AD105" s="197"/>
      <c r="AE105" s="197"/>
      <c r="AF105" s="197"/>
      <c r="AG105" s="197"/>
      <c r="AH105" s="197"/>
      <c r="AI105" s="197"/>
    </row>
    <row r="106" spans="1:35" ht="15">
      <c r="A106" s="197"/>
      <c r="B106" s="197"/>
      <c r="C106" s="197"/>
      <c r="D106" s="197"/>
      <c r="E106" s="197"/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  <c r="R106" s="197"/>
      <c r="S106" s="197"/>
      <c r="T106" s="197"/>
      <c r="U106" s="197"/>
      <c r="V106" s="197"/>
      <c r="W106" s="197"/>
      <c r="X106" s="197"/>
      <c r="Y106" s="197"/>
      <c r="Z106" s="197"/>
      <c r="AA106" s="197"/>
      <c r="AB106" s="197"/>
      <c r="AC106" s="197"/>
      <c r="AD106" s="197"/>
      <c r="AE106" s="197"/>
      <c r="AF106" s="197"/>
      <c r="AG106" s="197"/>
      <c r="AH106" s="197"/>
      <c r="AI106" s="197"/>
    </row>
    <row r="107" spans="1:35" ht="15">
      <c r="A107" s="197"/>
      <c r="B107" s="197"/>
      <c r="C107" s="197"/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197"/>
      <c r="AH107" s="197"/>
      <c r="AI107" s="197"/>
    </row>
    <row r="108" spans="1:35" ht="15">
      <c r="A108" s="197"/>
      <c r="B108" s="197"/>
      <c r="C108" s="197"/>
      <c r="D108" s="197"/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  <c r="AC108" s="197"/>
      <c r="AD108" s="197"/>
      <c r="AE108" s="197"/>
      <c r="AF108" s="197"/>
      <c r="AG108" s="197"/>
      <c r="AH108" s="197"/>
      <c r="AI108" s="197"/>
    </row>
    <row r="109" spans="1:35" ht="15">
      <c r="A109" s="197"/>
      <c r="B109" s="197"/>
      <c r="C109" s="197"/>
      <c r="D109" s="197"/>
      <c r="E109" s="197"/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  <c r="R109" s="197"/>
      <c r="S109" s="197"/>
      <c r="T109" s="197"/>
      <c r="U109" s="197"/>
      <c r="V109" s="197"/>
      <c r="W109" s="197"/>
      <c r="X109" s="197"/>
      <c r="Y109" s="197"/>
      <c r="Z109" s="197"/>
      <c r="AA109" s="197"/>
      <c r="AB109" s="197"/>
      <c r="AC109" s="197"/>
      <c r="AD109" s="197"/>
      <c r="AE109" s="197"/>
      <c r="AF109" s="197"/>
      <c r="AG109" s="197"/>
      <c r="AH109" s="197"/>
      <c r="AI109" s="197"/>
    </row>
    <row r="110" spans="1:35" ht="15">
      <c r="A110" s="197"/>
      <c r="B110" s="197"/>
      <c r="C110" s="197"/>
      <c r="D110" s="197"/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  <c r="Z110" s="197"/>
      <c r="AA110" s="197"/>
      <c r="AB110" s="197"/>
      <c r="AC110" s="197"/>
      <c r="AD110" s="197"/>
      <c r="AE110" s="197"/>
      <c r="AF110" s="197"/>
      <c r="AG110" s="197"/>
      <c r="AH110" s="197"/>
      <c r="AI110" s="197"/>
    </row>
    <row r="111" spans="1:35" ht="15">
      <c r="A111" s="197"/>
      <c r="B111" s="197"/>
      <c r="C111" s="197"/>
      <c r="D111" s="197"/>
      <c r="E111" s="197"/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  <c r="R111" s="197"/>
      <c r="S111" s="197"/>
      <c r="T111" s="197"/>
      <c r="U111" s="197"/>
      <c r="V111" s="197"/>
      <c r="W111" s="197"/>
      <c r="X111" s="197"/>
      <c r="Y111" s="197"/>
      <c r="Z111" s="197"/>
      <c r="AA111" s="197"/>
      <c r="AB111" s="197"/>
      <c r="AC111" s="197"/>
      <c r="AD111" s="197"/>
      <c r="AE111" s="197"/>
      <c r="AF111" s="197"/>
      <c r="AG111" s="197"/>
      <c r="AH111" s="197"/>
      <c r="AI111" s="197"/>
    </row>
    <row r="112" spans="1:35" ht="15">
      <c r="A112" s="197"/>
      <c r="B112" s="197"/>
      <c r="C112" s="197"/>
      <c r="D112" s="197"/>
      <c r="E112" s="197"/>
      <c r="F112" s="197"/>
      <c r="G112" s="197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  <c r="R112" s="197"/>
      <c r="S112" s="197"/>
      <c r="T112" s="197"/>
      <c r="U112" s="197"/>
      <c r="V112" s="197"/>
      <c r="W112" s="197"/>
      <c r="X112" s="197"/>
      <c r="Y112" s="197"/>
      <c r="Z112" s="197"/>
      <c r="AA112" s="197"/>
      <c r="AB112" s="197"/>
      <c r="AC112" s="197"/>
      <c r="AD112" s="197"/>
      <c r="AE112" s="197"/>
      <c r="AF112" s="197"/>
      <c r="AG112" s="197"/>
      <c r="AH112" s="197"/>
      <c r="AI112" s="197"/>
    </row>
    <row r="113" spans="1:35" ht="15">
      <c r="A113" s="197"/>
      <c r="B113" s="197"/>
      <c r="C113" s="197"/>
      <c r="D113" s="197"/>
      <c r="E113" s="197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97"/>
      <c r="W113" s="197"/>
      <c r="X113" s="197"/>
      <c r="Y113" s="197"/>
      <c r="Z113" s="197"/>
      <c r="AA113" s="197"/>
      <c r="AB113" s="197"/>
      <c r="AC113" s="197"/>
      <c r="AD113" s="197"/>
      <c r="AE113" s="197"/>
      <c r="AF113" s="197"/>
      <c r="AG113" s="197"/>
      <c r="AH113" s="197"/>
      <c r="AI113" s="197"/>
    </row>
    <row r="114" spans="1:35" ht="15">
      <c r="A114" s="197"/>
      <c r="B114" s="197"/>
      <c r="C114" s="197"/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97"/>
      <c r="Z114" s="197"/>
      <c r="AA114" s="197"/>
      <c r="AB114" s="197"/>
      <c r="AC114" s="197"/>
      <c r="AD114" s="197"/>
      <c r="AE114" s="197"/>
      <c r="AF114" s="197"/>
      <c r="AG114" s="197"/>
      <c r="AH114" s="197"/>
      <c r="AI114" s="197"/>
    </row>
    <row r="115" spans="1:35" ht="15">
      <c r="A115" s="197"/>
      <c r="B115" s="197"/>
      <c r="C115" s="197"/>
      <c r="D115" s="197"/>
      <c r="E115" s="197"/>
      <c r="F115" s="197"/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  <c r="R115" s="197"/>
      <c r="S115" s="197"/>
      <c r="T115" s="197"/>
      <c r="U115" s="197"/>
      <c r="V115" s="197"/>
      <c r="W115" s="197"/>
      <c r="X115" s="197"/>
      <c r="Y115" s="197"/>
      <c r="Z115" s="197"/>
      <c r="AA115" s="197"/>
      <c r="AB115" s="197"/>
      <c r="AC115" s="197"/>
      <c r="AD115" s="197"/>
      <c r="AE115" s="197"/>
      <c r="AF115" s="197"/>
      <c r="AG115" s="197"/>
      <c r="AH115" s="197"/>
      <c r="AI115" s="197"/>
    </row>
    <row r="116" spans="1:35" ht="15">
      <c r="A116" s="197"/>
      <c r="B116" s="197"/>
      <c r="C116" s="197"/>
      <c r="D116" s="197"/>
      <c r="E116" s="197"/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7"/>
      <c r="AF116" s="197"/>
      <c r="AG116" s="197"/>
      <c r="AH116" s="197"/>
      <c r="AI116" s="197"/>
    </row>
    <row r="117" spans="1:35" ht="15">
      <c r="A117" s="197"/>
      <c r="B117" s="197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</row>
    <row r="118" spans="1:35" ht="15">
      <c r="A118" s="197"/>
      <c r="B118" s="197"/>
      <c r="C118" s="197"/>
      <c r="D118" s="197"/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  <c r="S118" s="197"/>
      <c r="T118" s="197"/>
      <c r="U118" s="197"/>
      <c r="V118" s="197"/>
      <c r="W118" s="197"/>
      <c r="X118" s="197"/>
      <c r="Y118" s="197"/>
      <c r="Z118" s="197"/>
      <c r="AA118" s="197"/>
      <c r="AB118" s="197"/>
      <c r="AC118" s="197"/>
      <c r="AD118" s="197"/>
      <c r="AE118" s="197"/>
      <c r="AF118" s="197"/>
      <c r="AG118" s="197"/>
      <c r="AH118" s="197"/>
      <c r="AI118" s="197"/>
    </row>
    <row r="119" spans="1:35" ht="15">
      <c r="A119" s="197"/>
      <c r="B119" s="197"/>
      <c r="C119" s="197"/>
      <c r="D119" s="197"/>
      <c r="E119" s="197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  <c r="R119" s="197"/>
      <c r="S119" s="197"/>
      <c r="T119" s="197"/>
      <c r="U119" s="197"/>
      <c r="V119" s="197"/>
      <c r="W119" s="197"/>
      <c r="X119" s="197"/>
      <c r="Y119" s="197"/>
      <c r="Z119" s="197"/>
      <c r="AA119" s="197"/>
      <c r="AB119" s="197"/>
      <c r="AC119" s="197"/>
      <c r="AD119" s="197"/>
      <c r="AE119" s="197"/>
      <c r="AF119" s="197"/>
      <c r="AG119" s="197"/>
      <c r="AH119" s="197"/>
      <c r="AI119" s="197"/>
    </row>
    <row r="120" spans="1:35" ht="15">
      <c r="A120" s="197"/>
      <c r="B120" s="197"/>
      <c r="C120" s="197"/>
      <c r="D120" s="197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  <c r="R120" s="197"/>
      <c r="S120" s="197"/>
      <c r="T120" s="197"/>
      <c r="U120" s="197"/>
      <c r="V120" s="197"/>
      <c r="W120" s="197"/>
      <c r="X120" s="197"/>
      <c r="Y120" s="197"/>
      <c r="Z120" s="197"/>
      <c r="AA120" s="197"/>
      <c r="AB120" s="197"/>
      <c r="AC120" s="197"/>
      <c r="AD120" s="197"/>
      <c r="AE120" s="197"/>
      <c r="AF120" s="197"/>
      <c r="AG120" s="197"/>
      <c r="AH120" s="197"/>
      <c r="AI120" s="197"/>
    </row>
    <row r="121" spans="1:35" ht="15">
      <c r="A121" s="197"/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S121" s="197"/>
      <c r="T121" s="197"/>
      <c r="U121" s="197"/>
      <c r="V121" s="197"/>
      <c r="W121" s="197"/>
      <c r="X121" s="197"/>
      <c r="Y121" s="197"/>
      <c r="Z121" s="197"/>
      <c r="AA121" s="197"/>
      <c r="AB121" s="197"/>
      <c r="AC121" s="197"/>
      <c r="AD121" s="197"/>
      <c r="AE121" s="197"/>
      <c r="AF121" s="197"/>
      <c r="AG121" s="197"/>
      <c r="AH121" s="197"/>
      <c r="AI121" s="197"/>
    </row>
    <row r="122" spans="1:35" ht="15">
      <c r="A122" s="197"/>
      <c r="B122" s="197"/>
      <c r="C122" s="197"/>
      <c r="D122" s="197"/>
      <c r="E122" s="197"/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  <c r="R122" s="197"/>
      <c r="S122" s="197"/>
      <c r="T122" s="197"/>
      <c r="U122" s="197"/>
      <c r="V122" s="197"/>
      <c r="W122" s="197"/>
      <c r="X122" s="197"/>
      <c r="Y122" s="197"/>
      <c r="Z122" s="197"/>
      <c r="AA122" s="197"/>
      <c r="AB122" s="197"/>
      <c r="AC122" s="197"/>
      <c r="AD122" s="197"/>
      <c r="AE122" s="197"/>
      <c r="AF122" s="197"/>
      <c r="AG122" s="197"/>
      <c r="AH122" s="197"/>
      <c r="AI122" s="197"/>
    </row>
    <row r="123" spans="1:35" ht="15">
      <c r="A123" s="197"/>
      <c r="B123" s="197"/>
      <c r="C123" s="197"/>
      <c r="D123" s="197"/>
      <c r="E123" s="197"/>
      <c r="F123" s="197"/>
      <c r="G123" s="197"/>
      <c r="H123" s="197"/>
      <c r="I123" s="197"/>
      <c r="J123" s="197"/>
      <c r="K123" s="197"/>
      <c r="L123" s="197"/>
      <c r="M123" s="197"/>
      <c r="N123" s="197"/>
      <c r="O123" s="197"/>
      <c r="P123" s="197"/>
      <c r="Q123" s="197"/>
      <c r="R123" s="197"/>
      <c r="S123" s="197"/>
      <c r="T123" s="197"/>
      <c r="U123" s="197"/>
      <c r="V123" s="197"/>
      <c r="W123" s="197"/>
      <c r="X123" s="197"/>
      <c r="Y123" s="197"/>
      <c r="Z123" s="197"/>
      <c r="AA123" s="197"/>
      <c r="AB123" s="197"/>
      <c r="AC123" s="197"/>
      <c r="AD123" s="197"/>
      <c r="AE123" s="197"/>
      <c r="AF123" s="197"/>
      <c r="AG123" s="197"/>
      <c r="AH123" s="197"/>
      <c r="AI123" s="197"/>
    </row>
    <row r="124" spans="1:35" ht="15">
      <c r="A124" s="197"/>
      <c r="B124" s="197"/>
      <c r="C124" s="197"/>
      <c r="D124" s="197"/>
      <c r="E124" s="197"/>
      <c r="F124" s="197"/>
      <c r="G124" s="197"/>
      <c r="H124" s="197"/>
      <c r="I124" s="197"/>
      <c r="J124" s="197"/>
      <c r="K124" s="197"/>
      <c r="L124" s="197"/>
      <c r="M124" s="197"/>
      <c r="N124" s="197"/>
      <c r="O124" s="197"/>
      <c r="P124" s="197"/>
      <c r="Q124" s="197"/>
      <c r="R124" s="197"/>
      <c r="S124" s="197"/>
      <c r="T124" s="197"/>
      <c r="U124" s="197"/>
      <c r="V124" s="197"/>
      <c r="W124" s="197"/>
      <c r="X124" s="197"/>
      <c r="Y124" s="197"/>
      <c r="Z124" s="197"/>
      <c r="AA124" s="197"/>
      <c r="AB124" s="197"/>
      <c r="AC124" s="197"/>
      <c r="AD124" s="197"/>
      <c r="AE124" s="197"/>
      <c r="AF124" s="197"/>
      <c r="AG124" s="197"/>
      <c r="AH124" s="197"/>
      <c r="AI124" s="197"/>
    </row>
    <row r="125" spans="1:35" ht="15">
      <c r="A125" s="197"/>
      <c r="B125" s="197"/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97"/>
      <c r="Q125" s="197"/>
      <c r="R125" s="197"/>
      <c r="S125" s="197"/>
      <c r="T125" s="197"/>
      <c r="U125" s="197"/>
      <c r="V125" s="197"/>
      <c r="W125" s="197"/>
      <c r="X125" s="197"/>
      <c r="Y125" s="197"/>
      <c r="Z125" s="197"/>
      <c r="AA125" s="197"/>
      <c r="AB125" s="197"/>
      <c r="AC125" s="197"/>
      <c r="AD125" s="197"/>
      <c r="AE125" s="197"/>
      <c r="AF125" s="197"/>
      <c r="AG125" s="197"/>
      <c r="AH125" s="197"/>
      <c r="AI125" s="197"/>
    </row>
    <row r="126" spans="1:35" ht="15">
      <c r="A126" s="197"/>
      <c r="B126" s="197"/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97"/>
      <c r="Q126" s="197"/>
      <c r="R126" s="197"/>
      <c r="S126" s="197"/>
      <c r="T126" s="197"/>
      <c r="U126" s="197"/>
      <c r="V126" s="197"/>
      <c r="W126" s="197"/>
      <c r="X126" s="197"/>
      <c r="Y126" s="197"/>
      <c r="Z126" s="197"/>
      <c r="AA126" s="197"/>
      <c r="AB126" s="197"/>
      <c r="AC126" s="197"/>
      <c r="AD126" s="197"/>
      <c r="AE126" s="197"/>
      <c r="AF126" s="197"/>
      <c r="AG126" s="197"/>
      <c r="AH126" s="197"/>
      <c r="AI126" s="197"/>
    </row>
    <row r="127" spans="1:35" ht="15">
      <c r="A127" s="197"/>
      <c r="B127" s="197"/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97"/>
      <c r="Q127" s="197"/>
      <c r="R127" s="197"/>
      <c r="S127" s="197"/>
      <c r="T127" s="197"/>
      <c r="U127" s="197"/>
      <c r="V127" s="197"/>
      <c r="W127" s="197"/>
      <c r="X127" s="197"/>
      <c r="Y127" s="197"/>
      <c r="Z127" s="197"/>
      <c r="AA127" s="197"/>
      <c r="AB127" s="197"/>
      <c r="AC127" s="197"/>
      <c r="AD127" s="197"/>
      <c r="AE127" s="197"/>
      <c r="AF127" s="197"/>
      <c r="AG127" s="197"/>
      <c r="AH127" s="197"/>
      <c r="AI127" s="197"/>
    </row>
    <row r="128" spans="1:35" ht="15">
      <c r="A128" s="197"/>
      <c r="B128" s="197"/>
      <c r="C128" s="197"/>
      <c r="D128" s="197"/>
      <c r="E128" s="197"/>
      <c r="F128" s="197"/>
      <c r="G128" s="197"/>
      <c r="H128" s="197"/>
      <c r="I128" s="197"/>
      <c r="J128" s="197"/>
      <c r="K128" s="197"/>
      <c r="L128" s="197"/>
      <c r="M128" s="197"/>
      <c r="N128" s="197"/>
      <c r="O128" s="197"/>
      <c r="P128" s="197"/>
      <c r="Q128" s="197"/>
      <c r="R128" s="197"/>
      <c r="S128" s="197"/>
      <c r="T128" s="197"/>
      <c r="U128" s="197"/>
      <c r="V128" s="197"/>
      <c r="W128" s="197"/>
      <c r="X128" s="197"/>
      <c r="Y128" s="197"/>
      <c r="Z128" s="197"/>
      <c r="AA128" s="197"/>
      <c r="AB128" s="197"/>
      <c r="AC128" s="197"/>
      <c r="AD128" s="197"/>
      <c r="AE128" s="197"/>
      <c r="AF128" s="197"/>
      <c r="AG128" s="197"/>
      <c r="AH128" s="197"/>
      <c r="AI128" s="197"/>
    </row>
    <row r="129" spans="1:35" ht="15">
      <c r="A129" s="197"/>
      <c r="B129" s="197"/>
      <c r="C129" s="197"/>
      <c r="D129" s="197"/>
      <c r="E129" s="197"/>
      <c r="F129" s="197"/>
      <c r="G129" s="197"/>
      <c r="H129" s="197"/>
      <c r="I129" s="197"/>
      <c r="J129" s="197"/>
      <c r="K129" s="197"/>
      <c r="L129" s="197"/>
      <c r="M129" s="197"/>
      <c r="N129" s="197"/>
      <c r="O129" s="197"/>
      <c r="P129" s="197"/>
      <c r="Q129" s="197"/>
      <c r="R129" s="197"/>
      <c r="S129" s="197"/>
      <c r="T129" s="197"/>
      <c r="U129" s="197"/>
      <c r="V129" s="197"/>
      <c r="W129" s="197"/>
      <c r="X129" s="197"/>
      <c r="Y129" s="197"/>
      <c r="Z129" s="197"/>
      <c r="AA129" s="197"/>
      <c r="AB129" s="197"/>
      <c r="AC129" s="197"/>
      <c r="AD129" s="197"/>
      <c r="AE129" s="197"/>
      <c r="AF129" s="197"/>
      <c r="AG129" s="197"/>
      <c r="AH129" s="197"/>
      <c r="AI129" s="197"/>
    </row>
    <row r="130" spans="1:35" ht="15">
      <c r="A130" s="197"/>
      <c r="B130" s="197"/>
      <c r="C130" s="197"/>
      <c r="D130" s="197"/>
      <c r="E130" s="197"/>
      <c r="F130" s="197"/>
      <c r="G130" s="197"/>
      <c r="H130" s="197"/>
      <c r="I130" s="197"/>
      <c r="J130" s="197"/>
      <c r="K130" s="197"/>
      <c r="L130" s="197"/>
      <c r="M130" s="197"/>
      <c r="N130" s="197"/>
      <c r="O130" s="197"/>
      <c r="P130" s="197"/>
      <c r="Q130" s="197"/>
      <c r="R130" s="197"/>
      <c r="S130" s="197"/>
      <c r="T130" s="197"/>
      <c r="U130" s="197"/>
      <c r="V130" s="197"/>
      <c r="W130" s="197"/>
      <c r="X130" s="197"/>
      <c r="Y130" s="197"/>
      <c r="Z130" s="197"/>
      <c r="AA130" s="197"/>
      <c r="AB130" s="197"/>
      <c r="AC130" s="197"/>
      <c r="AD130" s="197"/>
      <c r="AE130" s="197"/>
      <c r="AF130" s="197"/>
      <c r="AG130" s="197"/>
      <c r="AH130" s="197"/>
      <c r="AI130" s="197"/>
    </row>
    <row r="131" spans="1:35" ht="15">
      <c r="A131" s="197"/>
      <c r="B131" s="197"/>
      <c r="C131" s="197"/>
      <c r="D131" s="197"/>
      <c r="E131" s="197"/>
      <c r="F131" s="197"/>
      <c r="G131" s="197"/>
      <c r="H131" s="197"/>
      <c r="I131" s="197"/>
      <c r="J131" s="197"/>
      <c r="K131" s="197"/>
      <c r="L131" s="197"/>
      <c r="M131" s="197"/>
      <c r="N131" s="197"/>
      <c r="O131" s="197"/>
      <c r="P131" s="197"/>
      <c r="Q131" s="197"/>
      <c r="R131" s="197"/>
      <c r="S131" s="197"/>
      <c r="T131" s="197"/>
      <c r="U131" s="197"/>
      <c r="V131" s="197"/>
      <c r="W131" s="197"/>
      <c r="X131" s="197"/>
      <c r="Y131" s="197"/>
      <c r="Z131" s="197"/>
      <c r="AA131" s="197"/>
      <c r="AB131" s="197"/>
      <c r="AC131" s="197"/>
      <c r="AD131" s="197"/>
      <c r="AE131" s="197"/>
      <c r="AF131" s="197"/>
      <c r="AG131" s="197"/>
      <c r="AH131" s="197"/>
      <c r="AI131" s="197"/>
    </row>
    <row r="132" spans="1:35" ht="15">
      <c r="A132" s="197"/>
      <c r="B132" s="197"/>
      <c r="C132" s="197"/>
      <c r="D132" s="197"/>
      <c r="E132" s="197"/>
      <c r="F132" s="197"/>
      <c r="G132" s="197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  <c r="R132" s="197"/>
      <c r="S132" s="197"/>
      <c r="T132" s="197"/>
      <c r="U132" s="197"/>
      <c r="V132" s="197"/>
      <c r="W132" s="197"/>
      <c r="X132" s="197"/>
      <c r="Y132" s="197"/>
      <c r="Z132" s="197"/>
      <c r="AA132" s="197"/>
      <c r="AB132" s="197"/>
      <c r="AC132" s="197"/>
      <c r="AD132" s="197"/>
      <c r="AE132" s="197"/>
      <c r="AF132" s="197"/>
      <c r="AG132" s="197"/>
      <c r="AH132" s="197"/>
      <c r="AI132" s="197"/>
    </row>
    <row r="133" spans="1:35" ht="15">
      <c r="A133" s="197"/>
      <c r="B133" s="197"/>
      <c r="C133" s="197"/>
      <c r="D133" s="197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  <c r="S133" s="197"/>
      <c r="T133" s="197"/>
      <c r="U133" s="197"/>
      <c r="V133" s="197"/>
      <c r="W133" s="197"/>
      <c r="X133" s="197"/>
      <c r="Y133" s="197"/>
      <c r="Z133" s="197"/>
      <c r="AA133" s="197"/>
      <c r="AB133" s="197"/>
      <c r="AC133" s="197"/>
      <c r="AD133" s="197"/>
      <c r="AE133" s="197"/>
      <c r="AF133" s="197"/>
      <c r="AG133" s="197"/>
      <c r="AH133" s="197"/>
      <c r="AI133" s="197"/>
    </row>
    <row r="134" spans="1:35" ht="15">
      <c r="A134" s="197"/>
      <c r="B134" s="197"/>
      <c r="C134" s="197"/>
      <c r="D134" s="197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  <c r="R134" s="197"/>
      <c r="S134" s="197"/>
      <c r="T134" s="197"/>
      <c r="U134" s="197"/>
      <c r="V134" s="197"/>
      <c r="W134" s="197"/>
      <c r="X134" s="197"/>
      <c r="Y134" s="197"/>
      <c r="Z134" s="197"/>
      <c r="AA134" s="197"/>
      <c r="AB134" s="197"/>
      <c r="AC134" s="197"/>
      <c r="AD134" s="197"/>
      <c r="AE134" s="197"/>
      <c r="AF134" s="197"/>
      <c r="AG134" s="197"/>
      <c r="AH134" s="197"/>
      <c r="AI134" s="197"/>
    </row>
    <row r="135" spans="1:35" ht="15">
      <c r="A135" s="197"/>
      <c r="B135" s="197"/>
      <c r="C135" s="197"/>
      <c r="D135" s="197"/>
      <c r="E135" s="197"/>
      <c r="F135" s="197"/>
      <c r="G135" s="197"/>
      <c r="H135" s="197"/>
      <c r="I135" s="197"/>
      <c r="J135" s="197"/>
      <c r="K135" s="197"/>
      <c r="L135" s="197"/>
      <c r="M135" s="197"/>
      <c r="N135" s="197"/>
      <c r="O135" s="197"/>
      <c r="P135" s="197"/>
      <c r="Q135" s="197"/>
      <c r="R135" s="197"/>
      <c r="S135" s="197"/>
      <c r="T135" s="197"/>
      <c r="U135" s="197"/>
      <c r="V135" s="197"/>
      <c r="W135" s="197"/>
      <c r="X135" s="197"/>
      <c r="Y135" s="197"/>
      <c r="Z135" s="197"/>
      <c r="AA135" s="197"/>
      <c r="AB135" s="197"/>
      <c r="AC135" s="197"/>
      <c r="AD135" s="197"/>
      <c r="AE135" s="197"/>
      <c r="AF135" s="197"/>
      <c r="AG135" s="197"/>
      <c r="AH135" s="197"/>
      <c r="AI135" s="197"/>
    </row>
    <row r="136" spans="1:35" ht="15">
      <c r="A136" s="197"/>
      <c r="B136" s="197"/>
      <c r="C136" s="197"/>
      <c r="D136" s="197"/>
      <c r="E136" s="197"/>
      <c r="F136" s="197"/>
      <c r="G136" s="197"/>
      <c r="H136" s="197"/>
      <c r="I136" s="197"/>
      <c r="J136" s="197"/>
      <c r="K136" s="197"/>
      <c r="L136" s="197"/>
      <c r="M136" s="197"/>
      <c r="N136" s="197"/>
      <c r="O136" s="197"/>
      <c r="P136" s="197"/>
      <c r="Q136" s="197"/>
      <c r="R136" s="197"/>
      <c r="S136" s="197"/>
      <c r="T136" s="197"/>
      <c r="U136" s="197"/>
      <c r="V136" s="197"/>
      <c r="W136" s="197"/>
      <c r="X136" s="197"/>
      <c r="Y136" s="197"/>
      <c r="Z136" s="197"/>
      <c r="AA136" s="197"/>
      <c r="AB136" s="197"/>
      <c r="AC136" s="197"/>
      <c r="AD136" s="197"/>
      <c r="AE136" s="197"/>
      <c r="AF136" s="197"/>
      <c r="AG136" s="197"/>
      <c r="AH136" s="197"/>
      <c r="AI136" s="197"/>
    </row>
    <row r="137" spans="1:35" ht="15">
      <c r="A137" s="197"/>
      <c r="B137" s="197"/>
      <c r="C137" s="197"/>
      <c r="D137" s="197"/>
      <c r="E137" s="197"/>
      <c r="F137" s="197"/>
      <c r="G137" s="197"/>
      <c r="H137" s="197"/>
      <c r="I137" s="197"/>
      <c r="J137" s="197"/>
      <c r="K137" s="197"/>
      <c r="L137" s="197"/>
      <c r="M137" s="197"/>
      <c r="N137" s="197"/>
      <c r="O137" s="197"/>
      <c r="P137" s="197"/>
      <c r="Q137" s="197"/>
      <c r="R137" s="197"/>
      <c r="S137" s="197"/>
      <c r="T137" s="197"/>
      <c r="U137" s="197"/>
      <c r="V137" s="197"/>
      <c r="W137" s="197"/>
      <c r="X137" s="197"/>
      <c r="Y137" s="197"/>
      <c r="Z137" s="197"/>
      <c r="AA137" s="197"/>
      <c r="AB137" s="197"/>
      <c r="AC137" s="197"/>
      <c r="AD137" s="197"/>
      <c r="AE137" s="197"/>
      <c r="AF137" s="197"/>
      <c r="AG137" s="197"/>
      <c r="AH137" s="197"/>
      <c r="AI137" s="197"/>
    </row>
    <row r="138" spans="1:35" ht="15">
      <c r="A138" s="197"/>
      <c r="B138" s="197"/>
      <c r="C138" s="197"/>
      <c r="D138" s="197"/>
      <c r="E138" s="197"/>
      <c r="F138" s="197"/>
      <c r="G138" s="197"/>
      <c r="H138" s="197"/>
      <c r="I138" s="197"/>
      <c r="J138" s="197"/>
      <c r="K138" s="197"/>
      <c r="L138" s="197"/>
      <c r="M138" s="197"/>
      <c r="N138" s="197"/>
      <c r="O138" s="197"/>
      <c r="P138" s="197"/>
      <c r="Q138" s="197"/>
      <c r="R138" s="197"/>
      <c r="S138" s="197"/>
      <c r="T138" s="197"/>
      <c r="U138" s="197"/>
      <c r="V138" s="197"/>
      <c r="W138" s="197"/>
      <c r="X138" s="197"/>
      <c r="Y138" s="197"/>
      <c r="Z138" s="197"/>
      <c r="AA138" s="197"/>
      <c r="AB138" s="197"/>
      <c r="AC138" s="197"/>
      <c r="AD138" s="197"/>
      <c r="AE138" s="197"/>
      <c r="AF138" s="197"/>
      <c r="AG138" s="197"/>
      <c r="AH138" s="197"/>
      <c r="AI138" s="197"/>
    </row>
    <row r="139" spans="1:35" ht="15">
      <c r="A139" s="197"/>
      <c r="B139" s="197"/>
      <c r="C139" s="197"/>
      <c r="D139" s="197"/>
      <c r="E139" s="197"/>
      <c r="F139" s="197"/>
      <c r="G139" s="197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/>
      <c r="R139" s="197"/>
      <c r="S139" s="197"/>
      <c r="T139" s="197"/>
      <c r="U139" s="197"/>
      <c r="V139" s="197"/>
      <c r="W139" s="197"/>
      <c r="X139" s="197"/>
      <c r="Y139" s="197"/>
      <c r="Z139" s="197"/>
      <c r="AA139" s="197"/>
      <c r="AB139" s="197"/>
      <c r="AC139" s="197"/>
      <c r="AD139" s="197"/>
      <c r="AE139" s="197"/>
      <c r="AF139" s="197"/>
      <c r="AG139" s="197"/>
      <c r="AH139" s="197"/>
      <c r="AI139" s="197"/>
    </row>
    <row r="140" spans="1:35" ht="15">
      <c r="A140" s="197"/>
      <c r="B140" s="197"/>
      <c r="C140" s="197"/>
      <c r="D140" s="197"/>
      <c r="E140" s="197"/>
      <c r="F140" s="197"/>
      <c r="G140" s="197"/>
      <c r="H140" s="197"/>
      <c r="I140" s="197"/>
      <c r="J140" s="197"/>
      <c r="K140" s="197"/>
      <c r="L140" s="197"/>
      <c r="M140" s="197"/>
      <c r="N140" s="197"/>
      <c r="O140" s="197"/>
      <c r="P140" s="197"/>
      <c r="Q140" s="197"/>
      <c r="R140" s="197"/>
      <c r="S140" s="197"/>
      <c r="T140" s="197"/>
      <c r="U140" s="197"/>
      <c r="V140" s="197"/>
      <c r="W140" s="197"/>
      <c r="X140" s="197"/>
      <c r="Y140" s="197"/>
      <c r="Z140" s="197"/>
      <c r="AA140" s="197"/>
      <c r="AB140" s="197"/>
      <c r="AC140" s="197"/>
      <c r="AD140" s="197"/>
      <c r="AE140" s="197"/>
      <c r="AF140" s="197"/>
      <c r="AG140" s="197"/>
      <c r="AH140" s="197"/>
      <c r="AI140" s="197"/>
    </row>
    <row r="141" spans="1:35" ht="15">
      <c r="A141" s="197"/>
      <c r="B141" s="197"/>
      <c r="C141" s="197"/>
      <c r="D141" s="197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  <c r="P141" s="197"/>
      <c r="Q141" s="197"/>
      <c r="R141" s="197"/>
      <c r="S141" s="197"/>
      <c r="T141" s="197"/>
      <c r="U141" s="197"/>
      <c r="V141" s="197"/>
      <c r="W141" s="197"/>
      <c r="X141" s="197"/>
      <c r="Y141" s="197"/>
      <c r="Z141" s="197"/>
      <c r="AA141" s="197"/>
      <c r="AB141" s="197"/>
      <c r="AC141" s="197"/>
      <c r="AD141" s="197"/>
      <c r="AE141" s="197"/>
      <c r="AF141" s="197"/>
      <c r="AG141" s="197"/>
      <c r="AH141" s="197"/>
      <c r="AI141" s="197"/>
    </row>
    <row r="142" spans="1:35" ht="15">
      <c r="A142" s="197"/>
      <c r="B142" s="197"/>
      <c r="C142" s="197"/>
      <c r="D142" s="197"/>
      <c r="E142" s="197"/>
      <c r="F142" s="197"/>
      <c r="G142" s="197"/>
      <c r="H142" s="197"/>
      <c r="I142" s="197"/>
      <c r="J142" s="197"/>
      <c r="K142" s="197"/>
      <c r="L142" s="197"/>
      <c r="M142" s="197"/>
      <c r="N142" s="197"/>
      <c r="O142" s="197"/>
      <c r="P142" s="197"/>
      <c r="Q142" s="197"/>
      <c r="R142" s="197"/>
      <c r="S142" s="197"/>
      <c r="T142" s="197"/>
      <c r="U142" s="197"/>
      <c r="V142" s="197"/>
      <c r="W142" s="197"/>
      <c r="X142" s="197"/>
      <c r="Y142" s="197"/>
      <c r="Z142" s="197"/>
      <c r="AA142" s="197"/>
      <c r="AB142" s="197"/>
      <c r="AC142" s="197"/>
      <c r="AD142" s="197"/>
      <c r="AE142" s="197"/>
      <c r="AF142" s="197"/>
      <c r="AG142" s="197"/>
      <c r="AH142" s="197"/>
      <c r="AI142" s="197"/>
    </row>
    <row r="143" spans="1:35" ht="15">
      <c r="A143" s="197"/>
      <c r="B143" s="197"/>
      <c r="C143" s="197"/>
      <c r="D143" s="197"/>
      <c r="E143" s="197"/>
      <c r="F143" s="197"/>
      <c r="G143" s="197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  <c r="R143" s="197"/>
      <c r="S143" s="197"/>
      <c r="T143" s="197"/>
      <c r="U143" s="197"/>
      <c r="V143" s="197"/>
      <c r="W143" s="197"/>
      <c r="X143" s="197"/>
      <c r="Y143" s="197"/>
      <c r="Z143" s="197"/>
      <c r="AA143" s="197"/>
      <c r="AB143" s="197"/>
      <c r="AC143" s="197"/>
      <c r="AD143" s="197"/>
      <c r="AE143" s="197"/>
      <c r="AF143" s="197"/>
      <c r="AG143" s="197"/>
      <c r="AH143" s="197"/>
      <c r="AI143" s="197"/>
    </row>
    <row r="144" spans="1:35" ht="15">
      <c r="A144" s="197"/>
      <c r="B144" s="197"/>
      <c r="C144" s="197"/>
      <c r="D144" s="197"/>
      <c r="E144" s="197"/>
      <c r="F144" s="197"/>
      <c r="G144" s="197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  <c r="R144" s="197"/>
      <c r="S144" s="197"/>
      <c r="T144" s="197"/>
      <c r="U144" s="197"/>
      <c r="V144" s="197"/>
      <c r="W144" s="197"/>
      <c r="X144" s="197"/>
      <c r="Y144" s="197"/>
      <c r="Z144" s="197"/>
      <c r="AA144" s="197"/>
      <c r="AB144" s="197"/>
      <c r="AC144" s="197"/>
      <c r="AD144" s="197"/>
      <c r="AE144" s="197"/>
      <c r="AF144" s="197"/>
      <c r="AG144" s="197"/>
      <c r="AH144" s="197"/>
      <c r="AI144" s="197"/>
    </row>
    <row r="145" spans="1:35" ht="15">
      <c r="A145" s="197"/>
      <c r="B145" s="197"/>
      <c r="C145" s="197"/>
      <c r="D145" s="197"/>
      <c r="E145" s="197"/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  <c r="P145" s="197"/>
      <c r="Q145" s="197"/>
      <c r="R145" s="197"/>
      <c r="S145" s="197"/>
      <c r="T145" s="197"/>
      <c r="U145" s="197"/>
      <c r="V145" s="197"/>
      <c r="W145" s="197"/>
      <c r="X145" s="197"/>
      <c r="Y145" s="197"/>
      <c r="Z145" s="197"/>
      <c r="AA145" s="197"/>
      <c r="AB145" s="197"/>
      <c r="AC145" s="197"/>
      <c r="AD145" s="197"/>
      <c r="AE145" s="197"/>
      <c r="AF145" s="197"/>
      <c r="AG145" s="197"/>
      <c r="AH145" s="197"/>
      <c r="AI145" s="197"/>
    </row>
    <row r="146" spans="1:35" ht="15">
      <c r="A146" s="197"/>
      <c r="B146" s="197"/>
      <c r="C146" s="197"/>
      <c r="D146" s="197"/>
      <c r="E146" s="197"/>
      <c r="F146" s="197"/>
      <c r="G146" s="197"/>
      <c r="H146" s="197"/>
      <c r="I146" s="197"/>
      <c r="J146" s="197"/>
      <c r="K146" s="197"/>
      <c r="L146" s="197"/>
      <c r="M146" s="197"/>
      <c r="N146" s="197"/>
      <c r="O146" s="197"/>
      <c r="P146" s="197"/>
      <c r="Q146" s="197"/>
      <c r="R146" s="197"/>
      <c r="S146" s="197"/>
      <c r="T146" s="197"/>
      <c r="U146" s="197"/>
      <c r="V146" s="197"/>
      <c r="W146" s="197"/>
      <c r="X146" s="197"/>
      <c r="Y146" s="197"/>
      <c r="Z146" s="197"/>
      <c r="AA146" s="197"/>
      <c r="AB146" s="197"/>
      <c r="AC146" s="197"/>
      <c r="AD146" s="197"/>
      <c r="AE146" s="197"/>
      <c r="AF146" s="197"/>
      <c r="AG146" s="197"/>
      <c r="AH146" s="197"/>
      <c r="AI146" s="197"/>
    </row>
    <row r="147" spans="1:35" ht="15">
      <c r="A147" s="197"/>
      <c r="B147" s="197"/>
      <c r="C147" s="197"/>
      <c r="D147" s="197"/>
      <c r="E147" s="197"/>
      <c r="F147" s="197"/>
      <c r="G147" s="197"/>
      <c r="H147" s="197"/>
      <c r="I147" s="197"/>
      <c r="J147" s="197"/>
      <c r="K147" s="197"/>
      <c r="L147" s="197"/>
      <c r="M147" s="197"/>
      <c r="N147" s="197"/>
      <c r="O147" s="197"/>
      <c r="P147" s="197"/>
      <c r="Q147" s="197"/>
      <c r="R147" s="197"/>
      <c r="S147" s="197"/>
      <c r="T147" s="197"/>
      <c r="U147" s="197"/>
      <c r="V147" s="197"/>
      <c r="W147" s="197"/>
      <c r="X147" s="197"/>
      <c r="Y147" s="197"/>
      <c r="Z147" s="197"/>
      <c r="AA147" s="197"/>
      <c r="AB147" s="197"/>
      <c r="AC147" s="197"/>
      <c r="AD147" s="197"/>
      <c r="AE147" s="197"/>
      <c r="AF147" s="197"/>
      <c r="AG147" s="197"/>
      <c r="AH147" s="197"/>
      <c r="AI147" s="197"/>
    </row>
    <row r="148" spans="1:35" ht="15">
      <c r="A148" s="197"/>
      <c r="B148" s="197"/>
      <c r="C148" s="197"/>
      <c r="D148" s="197"/>
      <c r="E148" s="197"/>
      <c r="F148" s="197"/>
      <c r="G148" s="197"/>
      <c r="H148" s="197"/>
      <c r="I148" s="197"/>
      <c r="J148" s="197"/>
      <c r="K148" s="197"/>
      <c r="L148" s="197"/>
      <c r="M148" s="197"/>
      <c r="N148" s="197"/>
      <c r="O148" s="197"/>
      <c r="P148" s="197"/>
      <c r="Q148" s="197"/>
      <c r="R148" s="197"/>
      <c r="S148" s="197"/>
      <c r="T148" s="197"/>
      <c r="U148" s="197"/>
      <c r="V148" s="197"/>
      <c r="W148" s="197"/>
      <c r="X148" s="197"/>
      <c r="Y148" s="197"/>
      <c r="Z148" s="197"/>
      <c r="AA148" s="197"/>
      <c r="AB148" s="197"/>
      <c r="AC148" s="197"/>
      <c r="AD148" s="197"/>
      <c r="AE148" s="197"/>
      <c r="AF148" s="197"/>
      <c r="AG148" s="197"/>
      <c r="AH148" s="197"/>
      <c r="AI148" s="197"/>
    </row>
    <row r="149" spans="1:35" ht="15">
      <c r="A149" s="197"/>
      <c r="B149" s="197"/>
      <c r="C149" s="197"/>
      <c r="D149" s="197"/>
      <c r="E149" s="197"/>
      <c r="F149" s="197"/>
      <c r="G149" s="197"/>
      <c r="H149" s="197"/>
      <c r="I149" s="197"/>
      <c r="J149" s="197"/>
      <c r="K149" s="197"/>
      <c r="L149" s="197"/>
      <c r="M149" s="197"/>
      <c r="N149" s="197"/>
      <c r="O149" s="197"/>
      <c r="P149" s="197"/>
      <c r="Q149" s="197"/>
      <c r="R149" s="197"/>
      <c r="S149" s="197"/>
      <c r="T149" s="197"/>
      <c r="U149" s="197"/>
      <c r="V149" s="197"/>
      <c r="W149" s="197"/>
      <c r="X149" s="197"/>
      <c r="Y149" s="197"/>
      <c r="Z149" s="197"/>
      <c r="AA149" s="197"/>
      <c r="AB149" s="197"/>
      <c r="AC149" s="197"/>
      <c r="AD149" s="197"/>
      <c r="AE149" s="197"/>
      <c r="AF149" s="197"/>
      <c r="AG149" s="197"/>
      <c r="AH149" s="197"/>
      <c r="AI149" s="197"/>
    </row>
    <row r="150" spans="1:35" ht="15">
      <c r="A150" s="197"/>
      <c r="B150" s="197"/>
      <c r="C150" s="197"/>
      <c r="D150" s="197"/>
      <c r="E150" s="197"/>
      <c r="F150" s="197"/>
      <c r="G150" s="197"/>
      <c r="H150" s="197"/>
      <c r="I150" s="197"/>
      <c r="J150" s="197"/>
      <c r="K150" s="197"/>
      <c r="L150" s="197"/>
      <c r="M150" s="197"/>
      <c r="N150" s="197"/>
      <c r="O150" s="197"/>
      <c r="P150" s="197"/>
      <c r="Q150" s="197"/>
      <c r="R150" s="197"/>
      <c r="S150" s="197"/>
      <c r="T150" s="197"/>
      <c r="U150" s="197"/>
      <c r="V150" s="197"/>
      <c r="W150" s="197"/>
      <c r="X150" s="197"/>
      <c r="Y150" s="197"/>
      <c r="Z150" s="197"/>
      <c r="AA150" s="197"/>
      <c r="AB150" s="197"/>
      <c r="AC150" s="197"/>
      <c r="AD150" s="197"/>
      <c r="AE150" s="197"/>
      <c r="AF150" s="197"/>
      <c r="AG150" s="197"/>
      <c r="AH150" s="197"/>
      <c r="AI150" s="197"/>
    </row>
    <row r="151" spans="1:35" ht="15">
      <c r="A151" s="197"/>
      <c r="B151" s="197"/>
      <c r="C151" s="197"/>
      <c r="D151" s="197"/>
      <c r="E151" s="197"/>
      <c r="F151" s="197"/>
      <c r="G151" s="197"/>
      <c r="H151" s="197"/>
      <c r="I151" s="197"/>
      <c r="J151" s="197"/>
      <c r="K151" s="197"/>
      <c r="L151" s="197"/>
      <c r="M151" s="197"/>
      <c r="N151" s="197"/>
      <c r="O151" s="197"/>
      <c r="P151" s="197"/>
      <c r="Q151" s="197"/>
      <c r="R151" s="197"/>
      <c r="S151" s="197"/>
      <c r="T151" s="197"/>
      <c r="U151" s="197"/>
      <c r="V151" s="197"/>
      <c r="W151" s="197"/>
      <c r="X151" s="197"/>
      <c r="Y151" s="197"/>
      <c r="Z151" s="197"/>
      <c r="AA151" s="197"/>
      <c r="AB151" s="197"/>
      <c r="AC151" s="197"/>
      <c r="AD151" s="197"/>
      <c r="AE151" s="197"/>
      <c r="AF151" s="197"/>
      <c r="AG151" s="197"/>
      <c r="AH151" s="197"/>
      <c r="AI151" s="197"/>
    </row>
    <row r="152" spans="1:35" ht="15">
      <c r="A152" s="197"/>
      <c r="B152" s="197"/>
      <c r="C152" s="197"/>
      <c r="D152" s="197"/>
      <c r="E152" s="197"/>
      <c r="F152" s="197"/>
      <c r="G152" s="197"/>
      <c r="H152" s="197"/>
      <c r="I152" s="197"/>
      <c r="J152" s="197"/>
      <c r="K152" s="197"/>
      <c r="L152" s="197"/>
      <c r="M152" s="197"/>
      <c r="N152" s="197"/>
      <c r="O152" s="197"/>
      <c r="P152" s="197"/>
      <c r="Q152" s="197"/>
      <c r="R152" s="197"/>
      <c r="S152" s="197"/>
      <c r="T152" s="197"/>
      <c r="U152" s="197"/>
      <c r="V152" s="197"/>
      <c r="W152" s="197"/>
      <c r="X152" s="197"/>
      <c r="Y152" s="197"/>
      <c r="Z152" s="197"/>
      <c r="AA152" s="197"/>
      <c r="AB152" s="197"/>
      <c r="AC152" s="197"/>
      <c r="AD152" s="197"/>
      <c r="AE152" s="197"/>
      <c r="AF152" s="197"/>
      <c r="AG152" s="197"/>
      <c r="AH152" s="197"/>
      <c r="AI152" s="197"/>
    </row>
    <row r="153" spans="1:35" ht="15">
      <c r="A153" s="197"/>
      <c r="B153" s="197"/>
      <c r="C153" s="197"/>
      <c r="D153" s="197"/>
      <c r="E153" s="197"/>
      <c r="F153" s="197"/>
      <c r="G153" s="197"/>
      <c r="H153" s="197"/>
      <c r="I153" s="197"/>
      <c r="J153" s="197"/>
      <c r="K153" s="197"/>
      <c r="L153" s="197"/>
      <c r="M153" s="197"/>
      <c r="N153" s="197"/>
      <c r="O153" s="197"/>
      <c r="P153" s="197"/>
      <c r="Q153" s="197"/>
      <c r="R153" s="197"/>
      <c r="S153" s="197"/>
      <c r="T153" s="197"/>
      <c r="U153" s="197"/>
      <c r="V153" s="197"/>
      <c r="W153" s="197"/>
      <c r="X153" s="197"/>
      <c r="Y153" s="197"/>
      <c r="Z153" s="197"/>
      <c r="AA153" s="197"/>
      <c r="AB153" s="197"/>
      <c r="AC153" s="197"/>
      <c r="AD153" s="197"/>
      <c r="AE153" s="197"/>
      <c r="AF153" s="197"/>
      <c r="AG153" s="197"/>
      <c r="AH153" s="197"/>
      <c r="AI153" s="197"/>
    </row>
    <row r="154" spans="1:35" ht="15">
      <c r="A154" s="197"/>
      <c r="B154" s="197"/>
      <c r="C154" s="197"/>
      <c r="D154" s="197"/>
      <c r="E154" s="197"/>
      <c r="F154" s="197"/>
      <c r="G154" s="197"/>
      <c r="H154" s="197"/>
      <c r="I154" s="197"/>
      <c r="J154" s="197"/>
      <c r="K154" s="197"/>
      <c r="L154" s="197"/>
      <c r="M154" s="197"/>
      <c r="N154" s="197"/>
      <c r="O154" s="197"/>
      <c r="P154" s="197"/>
      <c r="Q154" s="197"/>
      <c r="R154" s="197"/>
      <c r="S154" s="197"/>
      <c r="T154" s="197"/>
      <c r="U154" s="197"/>
      <c r="V154" s="197"/>
      <c r="W154" s="197"/>
      <c r="X154" s="197"/>
      <c r="Y154" s="197"/>
      <c r="Z154" s="197"/>
      <c r="AA154" s="197"/>
      <c r="AB154" s="197"/>
      <c r="AC154" s="197"/>
      <c r="AD154" s="197"/>
      <c r="AE154" s="197"/>
      <c r="AF154" s="197"/>
      <c r="AG154" s="197"/>
      <c r="AH154" s="197"/>
      <c r="AI154" s="197"/>
    </row>
    <row r="155" spans="1:35" ht="15">
      <c r="A155" s="197"/>
      <c r="B155" s="197"/>
      <c r="C155" s="197"/>
      <c r="D155" s="197"/>
      <c r="E155" s="197"/>
      <c r="F155" s="197"/>
      <c r="G155" s="197"/>
      <c r="H155" s="197"/>
      <c r="I155" s="197"/>
      <c r="J155" s="197"/>
      <c r="K155" s="197"/>
      <c r="L155" s="197"/>
      <c r="M155" s="197"/>
      <c r="N155" s="197"/>
      <c r="O155" s="197"/>
      <c r="P155" s="197"/>
      <c r="Q155" s="197"/>
      <c r="R155" s="197"/>
      <c r="S155" s="197"/>
      <c r="T155" s="197"/>
      <c r="U155" s="197"/>
      <c r="V155" s="197"/>
      <c r="W155" s="197"/>
      <c r="X155" s="197"/>
      <c r="Y155" s="197"/>
      <c r="Z155" s="197"/>
      <c r="AA155" s="197"/>
      <c r="AB155" s="197"/>
      <c r="AC155" s="197"/>
      <c r="AD155" s="197"/>
      <c r="AE155" s="197"/>
      <c r="AF155" s="197"/>
      <c r="AG155" s="197"/>
      <c r="AH155" s="197"/>
      <c r="AI155" s="197"/>
    </row>
    <row r="156" spans="1:35" ht="15">
      <c r="A156" s="197"/>
      <c r="B156" s="197"/>
      <c r="C156" s="197"/>
      <c r="D156" s="197"/>
      <c r="E156" s="197"/>
      <c r="F156" s="197"/>
      <c r="G156" s="197"/>
      <c r="H156" s="197"/>
      <c r="I156" s="197"/>
      <c r="J156" s="197"/>
      <c r="K156" s="197"/>
      <c r="L156" s="197"/>
      <c r="M156" s="197"/>
      <c r="N156" s="197"/>
      <c r="O156" s="197"/>
      <c r="P156" s="197"/>
      <c r="Q156" s="197"/>
      <c r="R156" s="197"/>
      <c r="S156" s="197"/>
      <c r="T156" s="197"/>
      <c r="U156" s="197"/>
      <c r="V156" s="197"/>
      <c r="W156" s="197"/>
      <c r="X156" s="197"/>
      <c r="Y156" s="197"/>
      <c r="Z156" s="197"/>
      <c r="AA156" s="197"/>
      <c r="AB156" s="197"/>
      <c r="AC156" s="197"/>
      <c r="AD156" s="197"/>
      <c r="AE156" s="197"/>
      <c r="AF156" s="197"/>
      <c r="AG156" s="197"/>
      <c r="AH156" s="197"/>
      <c r="AI156" s="197"/>
    </row>
    <row r="157" spans="1:35" ht="15">
      <c r="A157" s="197"/>
      <c r="B157" s="197"/>
      <c r="C157" s="197"/>
      <c r="D157" s="197"/>
      <c r="E157" s="197"/>
      <c r="F157" s="197"/>
      <c r="G157" s="197"/>
      <c r="H157" s="197"/>
      <c r="I157" s="197"/>
      <c r="J157" s="197"/>
      <c r="K157" s="197"/>
      <c r="L157" s="197"/>
      <c r="M157" s="197"/>
      <c r="N157" s="197"/>
      <c r="O157" s="197"/>
      <c r="P157" s="197"/>
      <c r="Q157" s="197"/>
      <c r="R157" s="197"/>
      <c r="S157" s="197"/>
      <c r="T157" s="197"/>
      <c r="U157" s="197"/>
      <c r="V157" s="197"/>
      <c r="W157" s="197"/>
      <c r="X157" s="197"/>
      <c r="Y157" s="197"/>
      <c r="Z157" s="197"/>
      <c r="AA157" s="197"/>
      <c r="AB157" s="197"/>
      <c r="AC157" s="197"/>
      <c r="AD157" s="197"/>
      <c r="AE157" s="197"/>
      <c r="AF157" s="197"/>
      <c r="AG157" s="197"/>
      <c r="AH157" s="197"/>
      <c r="AI157" s="197"/>
    </row>
    <row r="158" spans="1:35" ht="15">
      <c r="A158" s="197"/>
      <c r="B158" s="197"/>
      <c r="C158" s="197"/>
      <c r="D158" s="197"/>
      <c r="E158" s="197"/>
      <c r="F158" s="197"/>
      <c r="G158" s="197"/>
      <c r="H158" s="197"/>
      <c r="I158" s="197"/>
      <c r="J158" s="197"/>
      <c r="K158" s="197"/>
      <c r="L158" s="197"/>
      <c r="M158" s="197"/>
      <c r="N158" s="197"/>
      <c r="O158" s="197"/>
      <c r="P158" s="197"/>
      <c r="Q158" s="197"/>
      <c r="R158" s="197"/>
      <c r="S158" s="197"/>
      <c r="T158" s="197"/>
      <c r="U158" s="197"/>
      <c r="V158" s="197"/>
      <c r="W158" s="197"/>
      <c r="X158" s="197"/>
      <c r="Y158" s="197"/>
      <c r="Z158" s="197"/>
      <c r="AA158" s="197"/>
      <c r="AB158" s="197"/>
      <c r="AC158" s="197"/>
      <c r="AD158" s="197"/>
      <c r="AE158" s="197"/>
      <c r="AF158" s="197"/>
      <c r="AG158" s="197"/>
      <c r="AH158" s="197"/>
      <c r="AI158" s="197"/>
    </row>
    <row r="159" spans="1:35" ht="15">
      <c r="A159" s="197"/>
      <c r="B159" s="197"/>
      <c r="C159" s="197"/>
      <c r="D159" s="197"/>
      <c r="E159" s="197"/>
      <c r="F159" s="197"/>
      <c r="G159" s="197"/>
      <c r="H159" s="197"/>
      <c r="I159" s="197"/>
      <c r="J159" s="197"/>
      <c r="K159" s="197"/>
      <c r="L159" s="197"/>
      <c r="M159" s="197"/>
      <c r="N159" s="197"/>
      <c r="O159" s="197"/>
      <c r="P159" s="197"/>
      <c r="Q159" s="197"/>
      <c r="R159" s="197"/>
      <c r="S159" s="197"/>
      <c r="T159" s="197"/>
      <c r="U159" s="197"/>
      <c r="V159" s="197"/>
      <c r="W159" s="197"/>
      <c r="X159" s="197"/>
      <c r="Y159" s="197"/>
      <c r="Z159" s="197"/>
      <c r="AA159" s="197"/>
      <c r="AB159" s="197"/>
      <c r="AC159" s="197"/>
      <c r="AD159" s="197"/>
      <c r="AE159" s="197"/>
      <c r="AF159" s="197"/>
      <c r="AG159" s="197"/>
      <c r="AH159" s="197"/>
      <c r="AI159" s="197"/>
    </row>
    <row r="160" spans="1:35" ht="15">
      <c r="A160" s="197"/>
      <c r="B160" s="197"/>
      <c r="C160" s="197"/>
      <c r="D160" s="197"/>
      <c r="E160" s="197"/>
      <c r="F160" s="197"/>
      <c r="G160" s="197"/>
      <c r="H160" s="197"/>
      <c r="I160" s="197"/>
      <c r="J160" s="197"/>
      <c r="K160" s="197"/>
      <c r="L160" s="197"/>
      <c r="M160" s="197"/>
      <c r="N160" s="197"/>
      <c r="O160" s="197"/>
      <c r="P160" s="197"/>
      <c r="Q160" s="197"/>
      <c r="R160" s="197"/>
      <c r="S160" s="197"/>
      <c r="T160" s="197"/>
      <c r="U160" s="197"/>
      <c r="V160" s="197"/>
      <c r="W160" s="197"/>
      <c r="X160" s="197"/>
      <c r="Y160" s="197"/>
      <c r="Z160" s="197"/>
      <c r="AA160" s="197"/>
      <c r="AB160" s="197"/>
      <c r="AC160" s="197"/>
      <c r="AD160" s="197"/>
      <c r="AE160" s="197"/>
      <c r="AF160" s="197"/>
      <c r="AG160" s="197"/>
      <c r="AH160" s="197"/>
      <c r="AI160" s="197"/>
    </row>
    <row r="161" spans="1:35" ht="15">
      <c r="A161" s="197"/>
      <c r="B161" s="197"/>
      <c r="C161" s="197"/>
      <c r="D161" s="197"/>
      <c r="E161" s="197"/>
      <c r="F161" s="197"/>
      <c r="G161" s="197"/>
      <c r="H161" s="197"/>
      <c r="I161" s="197"/>
      <c r="J161" s="197"/>
      <c r="K161" s="197"/>
      <c r="L161" s="197"/>
      <c r="M161" s="197"/>
      <c r="N161" s="197"/>
      <c r="O161" s="197"/>
      <c r="P161" s="197"/>
      <c r="Q161" s="197"/>
      <c r="R161" s="197"/>
      <c r="S161" s="197"/>
      <c r="T161" s="197"/>
      <c r="U161" s="197"/>
      <c r="V161" s="197"/>
      <c r="W161" s="197"/>
      <c r="X161" s="197"/>
      <c r="Y161" s="197"/>
      <c r="Z161" s="197"/>
      <c r="AA161" s="197"/>
      <c r="AB161" s="197"/>
      <c r="AC161" s="197"/>
      <c r="AD161" s="197"/>
      <c r="AE161" s="197"/>
      <c r="AF161" s="197"/>
      <c r="AG161" s="197"/>
      <c r="AH161" s="197"/>
      <c r="AI161" s="197"/>
    </row>
    <row r="162" spans="1:35" ht="15">
      <c r="A162" s="197"/>
      <c r="B162" s="197"/>
      <c r="C162" s="197"/>
      <c r="D162" s="197"/>
      <c r="E162" s="197"/>
      <c r="F162" s="197"/>
      <c r="G162" s="197"/>
      <c r="H162" s="197"/>
      <c r="I162" s="197"/>
      <c r="J162" s="197"/>
      <c r="K162" s="197"/>
      <c r="L162" s="197"/>
      <c r="M162" s="197"/>
      <c r="N162" s="197"/>
      <c r="O162" s="197"/>
      <c r="P162" s="197"/>
      <c r="Q162" s="197"/>
      <c r="R162" s="197"/>
      <c r="S162" s="197"/>
      <c r="T162" s="197"/>
      <c r="U162" s="197"/>
      <c r="V162" s="197"/>
      <c r="W162" s="197"/>
      <c r="X162" s="197"/>
      <c r="Y162" s="197"/>
      <c r="Z162" s="197"/>
      <c r="AA162" s="197"/>
      <c r="AB162" s="197"/>
      <c r="AC162" s="197"/>
      <c r="AD162" s="197"/>
      <c r="AE162" s="197"/>
      <c r="AF162" s="197"/>
      <c r="AG162" s="197"/>
      <c r="AH162" s="197"/>
      <c r="AI162" s="197"/>
    </row>
    <row r="163" spans="1:35" ht="15">
      <c r="A163" s="197"/>
      <c r="B163" s="197"/>
      <c r="C163" s="197"/>
      <c r="D163" s="197"/>
      <c r="E163" s="197"/>
      <c r="F163" s="197"/>
      <c r="G163" s="197"/>
      <c r="H163" s="197"/>
      <c r="I163" s="197"/>
      <c r="J163" s="197"/>
      <c r="K163" s="197"/>
      <c r="L163" s="197"/>
      <c r="M163" s="197"/>
      <c r="N163" s="197"/>
      <c r="O163" s="197"/>
      <c r="P163" s="197"/>
      <c r="Q163" s="197"/>
      <c r="R163" s="197"/>
      <c r="S163" s="197"/>
      <c r="T163" s="197"/>
      <c r="U163" s="197"/>
      <c r="V163" s="197"/>
      <c r="W163" s="197"/>
      <c r="X163" s="197"/>
      <c r="Y163" s="197"/>
      <c r="Z163" s="197"/>
      <c r="AA163" s="197"/>
      <c r="AB163" s="197"/>
      <c r="AC163" s="197"/>
      <c r="AD163" s="197"/>
      <c r="AE163" s="197"/>
      <c r="AF163" s="197"/>
      <c r="AG163" s="197"/>
      <c r="AH163" s="197"/>
      <c r="AI163" s="197"/>
    </row>
    <row r="164" spans="1:35" ht="15">
      <c r="A164" s="197"/>
      <c r="B164" s="197"/>
      <c r="C164" s="197"/>
      <c r="D164" s="197"/>
      <c r="E164" s="197"/>
      <c r="F164" s="197"/>
      <c r="G164" s="197"/>
      <c r="H164" s="197"/>
      <c r="I164" s="197"/>
      <c r="J164" s="197"/>
      <c r="K164" s="197"/>
      <c r="L164" s="197"/>
      <c r="M164" s="197"/>
      <c r="N164" s="197"/>
      <c r="O164" s="197"/>
      <c r="P164" s="197"/>
      <c r="Q164" s="197"/>
      <c r="R164" s="197"/>
      <c r="S164" s="197"/>
      <c r="T164" s="197"/>
      <c r="U164" s="197"/>
      <c r="V164" s="197"/>
      <c r="W164" s="197"/>
      <c r="X164" s="197"/>
      <c r="Y164" s="197"/>
      <c r="Z164" s="197"/>
      <c r="AA164" s="197"/>
      <c r="AB164" s="197"/>
      <c r="AC164" s="197"/>
      <c r="AD164" s="197"/>
      <c r="AE164" s="197"/>
      <c r="AF164" s="197"/>
      <c r="AG164" s="197"/>
      <c r="AH164" s="197"/>
      <c r="AI164" s="197"/>
    </row>
    <row r="165" spans="1:35" ht="15">
      <c r="A165" s="197"/>
      <c r="B165" s="197"/>
      <c r="C165" s="197"/>
      <c r="D165" s="197"/>
      <c r="E165" s="197"/>
      <c r="F165" s="197"/>
      <c r="G165" s="197"/>
      <c r="H165" s="197"/>
      <c r="I165" s="197"/>
      <c r="J165" s="197"/>
      <c r="K165" s="197"/>
      <c r="L165" s="197"/>
      <c r="M165" s="197"/>
      <c r="N165" s="197"/>
      <c r="O165" s="197"/>
      <c r="P165" s="197"/>
      <c r="Q165" s="197"/>
      <c r="R165" s="197"/>
      <c r="S165" s="197"/>
      <c r="T165" s="197"/>
      <c r="U165" s="197"/>
      <c r="V165" s="197"/>
      <c r="W165" s="197"/>
      <c r="X165" s="197"/>
      <c r="Y165" s="197"/>
      <c r="Z165" s="197"/>
      <c r="AA165" s="197"/>
      <c r="AB165" s="197"/>
      <c r="AC165" s="197"/>
      <c r="AD165" s="197"/>
      <c r="AE165" s="197"/>
      <c r="AF165" s="197"/>
      <c r="AG165" s="197"/>
      <c r="AH165" s="197"/>
      <c r="AI165" s="197"/>
    </row>
    <row r="166" spans="1:35" ht="15">
      <c r="A166" s="197"/>
      <c r="B166" s="197"/>
      <c r="C166" s="197"/>
      <c r="D166" s="197"/>
      <c r="E166" s="197"/>
      <c r="F166" s="197"/>
      <c r="G166" s="197"/>
      <c r="H166" s="197"/>
      <c r="I166" s="197"/>
      <c r="J166" s="197"/>
      <c r="K166" s="197"/>
      <c r="L166" s="197"/>
      <c r="M166" s="197"/>
      <c r="N166" s="197"/>
      <c r="O166" s="197"/>
      <c r="P166" s="197"/>
      <c r="Q166" s="197"/>
      <c r="R166" s="197"/>
      <c r="S166" s="197"/>
      <c r="T166" s="197"/>
      <c r="U166" s="197"/>
      <c r="V166" s="197"/>
      <c r="W166" s="197"/>
      <c r="X166" s="197"/>
      <c r="Y166" s="197"/>
      <c r="Z166" s="197"/>
      <c r="AA166" s="197"/>
      <c r="AB166" s="197"/>
      <c r="AC166" s="197"/>
      <c r="AD166" s="197"/>
      <c r="AE166" s="197"/>
      <c r="AF166" s="197"/>
      <c r="AG166" s="197"/>
      <c r="AH166" s="197"/>
      <c r="AI166" s="197"/>
    </row>
    <row r="167" spans="1:35" ht="15">
      <c r="A167" s="197"/>
      <c r="B167" s="197"/>
      <c r="C167" s="197"/>
      <c r="D167" s="197"/>
      <c r="E167" s="197"/>
      <c r="F167" s="197"/>
      <c r="G167" s="197"/>
      <c r="H167" s="197"/>
      <c r="I167" s="197"/>
      <c r="J167" s="197"/>
      <c r="K167" s="197"/>
      <c r="L167" s="197"/>
      <c r="M167" s="197"/>
      <c r="N167" s="197"/>
      <c r="O167" s="197"/>
      <c r="P167" s="197"/>
      <c r="Q167" s="197"/>
      <c r="R167" s="197"/>
      <c r="S167" s="197"/>
      <c r="T167" s="197"/>
      <c r="U167" s="197"/>
      <c r="V167" s="197"/>
      <c r="W167" s="197"/>
      <c r="X167" s="197"/>
      <c r="Y167" s="197"/>
      <c r="Z167" s="197"/>
      <c r="AA167" s="197"/>
      <c r="AB167" s="197"/>
      <c r="AC167" s="197"/>
      <c r="AD167" s="197"/>
      <c r="AE167" s="197"/>
      <c r="AF167" s="197"/>
      <c r="AG167" s="197"/>
      <c r="AH167" s="197"/>
      <c r="AI167" s="197"/>
    </row>
    <row r="168" spans="1:35" ht="15">
      <c r="A168" s="197"/>
      <c r="B168" s="197"/>
      <c r="C168" s="197"/>
      <c r="D168" s="197"/>
      <c r="E168" s="197"/>
      <c r="F168" s="197"/>
      <c r="G168" s="197"/>
      <c r="H168" s="197"/>
      <c r="I168" s="197"/>
      <c r="J168" s="197"/>
      <c r="K168" s="197"/>
      <c r="L168" s="197"/>
      <c r="M168" s="197"/>
      <c r="N168" s="197"/>
      <c r="O168" s="197"/>
      <c r="P168" s="197"/>
      <c r="Q168" s="197"/>
      <c r="R168" s="197"/>
      <c r="S168" s="197"/>
      <c r="T168" s="197"/>
      <c r="U168" s="197"/>
      <c r="V168" s="197"/>
      <c r="W168" s="197"/>
      <c r="X168" s="197"/>
      <c r="Y168" s="197"/>
      <c r="Z168" s="197"/>
      <c r="AA168" s="197"/>
      <c r="AB168" s="197"/>
      <c r="AC168" s="197"/>
      <c r="AD168" s="197"/>
      <c r="AE168" s="197"/>
      <c r="AF168" s="197"/>
      <c r="AG168" s="197"/>
      <c r="AH168" s="197"/>
      <c r="AI168" s="197"/>
    </row>
    <row r="169" spans="1:35" ht="15">
      <c r="A169" s="197"/>
      <c r="B169" s="197"/>
      <c r="C169" s="197"/>
      <c r="D169" s="197"/>
      <c r="E169" s="197"/>
      <c r="F169" s="197"/>
      <c r="G169" s="197"/>
      <c r="H169" s="197"/>
      <c r="I169" s="197"/>
      <c r="J169" s="197"/>
      <c r="K169" s="197"/>
      <c r="L169" s="197"/>
      <c r="M169" s="197"/>
      <c r="N169" s="197"/>
      <c r="O169" s="197"/>
      <c r="P169" s="197"/>
      <c r="Q169" s="197"/>
      <c r="R169" s="197"/>
      <c r="S169" s="197"/>
      <c r="T169" s="197"/>
      <c r="U169" s="197"/>
      <c r="V169" s="197"/>
      <c r="W169" s="197"/>
      <c r="X169" s="197"/>
      <c r="Y169" s="197"/>
      <c r="Z169" s="197"/>
      <c r="AA169" s="197"/>
      <c r="AB169" s="197"/>
      <c r="AC169" s="197"/>
      <c r="AD169" s="197"/>
      <c r="AE169" s="197"/>
      <c r="AF169" s="197"/>
      <c r="AG169" s="197"/>
      <c r="AH169" s="197"/>
      <c r="AI169" s="197"/>
    </row>
    <row r="170" spans="1:35" ht="15">
      <c r="A170" s="197"/>
      <c r="B170" s="197"/>
      <c r="C170" s="197"/>
      <c r="D170" s="197"/>
      <c r="E170" s="197"/>
      <c r="F170" s="197"/>
      <c r="G170" s="197"/>
      <c r="H170" s="197"/>
      <c r="I170" s="197"/>
      <c r="J170" s="197"/>
      <c r="K170" s="197"/>
      <c r="L170" s="197"/>
      <c r="M170" s="197"/>
      <c r="N170" s="197"/>
      <c r="O170" s="197"/>
      <c r="P170" s="197"/>
      <c r="Q170" s="197"/>
      <c r="R170" s="197"/>
      <c r="S170" s="197"/>
      <c r="T170" s="197"/>
      <c r="U170" s="197"/>
      <c r="V170" s="197"/>
      <c r="W170" s="197"/>
      <c r="X170" s="197"/>
      <c r="Y170" s="197"/>
      <c r="Z170" s="197"/>
      <c r="AA170" s="197"/>
      <c r="AB170" s="197"/>
      <c r="AC170" s="197"/>
      <c r="AD170" s="197"/>
      <c r="AE170" s="197"/>
      <c r="AF170" s="197"/>
      <c r="AG170" s="197"/>
      <c r="AH170" s="197"/>
      <c r="AI170" s="197"/>
    </row>
    <row r="171" spans="1:35" ht="15">
      <c r="A171" s="197"/>
      <c r="B171" s="197"/>
      <c r="C171" s="197"/>
      <c r="D171" s="197"/>
      <c r="E171" s="197"/>
      <c r="F171" s="197"/>
      <c r="G171" s="197"/>
      <c r="H171" s="197"/>
      <c r="I171" s="197"/>
      <c r="J171" s="197"/>
      <c r="K171" s="197"/>
      <c r="L171" s="197"/>
      <c r="M171" s="197"/>
      <c r="N171" s="197"/>
      <c r="O171" s="197"/>
      <c r="P171" s="197"/>
      <c r="Q171" s="197"/>
      <c r="R171" s="197"/>
      <c r="S171" s="197"/>
      <c r="T171" s="197"/>
      <c r="U171" s="197"/>
      <c r="V171" s="197"/>
      <c r="W171" s="197"/>
      <c r="X171" s="197"/>
      <c r="Y171" s="197"/>
      <c r="Z171" s="197"/>
      <c r="AA171" s="197"/>
      <c r="AB171" s="197"/>
      <c r="AC171" s="197"/>
      <c r="AD171" s="197"/>
      <c r="AE171" s="197"/>
      <c r="AF171" s="197"/>
      <c r="AG171" s="197"/>
      <c r="AH171" s="197"/>
      <c r="AI171" s="197"/>
    </row>
    <row r="172" spans="1:35" ht="15">
      <c r="A172" s="197"/>
      <c r="B172" s="197"/>
      <c r="C172" s="197"/>
      <c r="D172" s="197"/>
      <c r="E172" s="197"/>
      <c r="F172" s="197"/>
      <c r="G172" s="197"/>
      <c r="H172" s="197"/>
      <c r="I172" s="197"/>
      <c r="J172" s="197"/>
      <c r="K172" s="197"/>
      <c r="L172" s="197"/>
      <c r="M172" s="197"/>
      <c r="N172" s="197"/>
      <c r="O172" s="197"/>
      <c r="P172" s="197"/>
      <c r="Q172" s="197"/>
      <c r="R172" s="197"/>
      <c r="S172" s="197"/>
      <c r="T172" s="197"/>
      <c r="U172" s="197"/>
      <c r="V172" s="197"/>
      <c r="W172" s="197"/>
      <c r="X172" s="197"/>
      <c r="Y172" s="197"/>
      <c r="Z172" s="197"/>
      <c r="AA172" s="197"/>
      <c r="AB172" s="197"/>
      <c r="AC172" s="197"/>
      <c r="AD172" s="197"/>
      <c r="AE172" s="197"/>
      <c r="AF172" s="197"/>
      <c r="AG172" s="197"/>
      <c r="AH172" s="197"/>
      <c r="AI172" s="197"/>
    </row>
    <row r="173" spans="1:35" ht="15">
      <c r="A173" s="197"/>
      <c r="B173" s="197"/>
      <c r="C173" s="197"/>
      <c r="D173" s="197"/>
      <c r="E173" s="197"/>
      <c r="F173" s="197"/>
      <c r="G173" s="197"/>
      <c r="H173" s="197"/>
      <c r="I173" s="197"/>
      <c r="J173" s="197"/>
      <c r="K173" s="197"/>
      <c r="L173" s="197"/>
      <c r="M173" s="197"/>
      <c r="N173" s="197"/>
      <c r="O173" s="197"/>
      <c r="P173" s="197"/>
      <c r="Q173" s="197"/>
      <c r="R173" s="197"/>
      <c r="S173" s="197"/>
      <c r="T173" s="197"/>
      <c r="U173" s="197"/>
      <c r="V173" s="197"/>
      <c r="W173" s="197"/>
      <c r="X173" s="197"/>
      <c r="Y173" s="197"/>
      <c r="Z173" s="197"/>
      <c r="AA173" s="197"/>
      <c r="AB173" s="197"/>
      <c r="AC173" s="197"/>
      <c r="AD173" s="197"/>
      <c r="AE173" s="197"/>
      <c r="AF173" s="197"/>
      <c r="AG173" s="197"/>
      <c r="AH173" s="197"/>
      <c r="AI173" s="197"/>
    </row>
    <row r="174" spans="1:35" ht="15">
      <c r="A174" s="197"/>
      <c r="B174" s="197"/>
      <c r="C174" s="197"/>
      <c r="D174" s="197"/>
      <c r="E174" s="197"/>
      <c r="F174" s="197"/>
      <c r="G174" s="197"/>
      <c r="H174" s="197"/>
      <c r="I174" s="197"/>
      <c r="J174" s="197"/>
      <c r="K174" s="197"/>
      <c r="L174" s="197"/>
      <c r="M174" s="197"/>
      <c r="N174" s="197"/>
      <c r="O174" s="197"/>
      <c r="P174" s="197"/>
      <c r="Q174" s="197"/>
      <c r="R174" s="197"/>
      <c r="S174" s="197"/>
      <c r="T174" s="197"/>
      <c r="U174" s="197"/>
      <c r="V174" s="197"/>
      <c r="W174" s="197"/>
      <c r="X174" s="197"/>
      <c r="Y174" s="197"/>
      <c r="Z174" s="197"/>
      <c r="AA174" s="197"/>
      <c r="AB174" s="197"/>
      <c r="AC174" s="197"/>
      <c r="AD174" s="197"/>
      <c r="AE174" s="197"/>
      <c r="AF174" s="197"/>
      <c r="AG174" s="197"/>
      <c r="AH174" s="197"/>
      <c r="AI174" s="197"/>
    </row>
    <row r="175" spans="1:35" ht="15">
      <c r="A175" s="197"/>
      <c r="B175" s="197"/>
      <c r="C175" s="197"/>
      <c r="D175" s="197"/>
      <c r="E175" s="197"/>
      <c r="F175" s="197"/>
      <c r="G175" s="197"/>
      <c r="H175" s="197"/>
      <c r="I175" s="197"/>
      <c r="J175" s="197"/>
      <c r="K175" s="197"/>
      <c r="L175" s="197"/>
      <c r="M175" s="197"/>
      <c r="N175" s="197"/>
      <c r="O175" s="197"/>
      <c r="P175" s="197"/>
      <c r="Q175" s="197"/>
      <c r="R175" s="197"/>
      <c r="S175" s="197"/>
      <c r="T175" s="197"/>
      <c r="U175" s="197"/>
      <c r="V175" s="197"/>
      <c r="W175" s="197"/>
      <c r="X175" s="197"/>
      <c r="Y175" s="197"/>
      <c r="Z175" s="197"/>
      <c r="AA175" s="197"/>
      <c r="AB175" s="197"/>
      <c r="AC175" s="197"/>
      <c r="AD175" s="197"/>
      <c r="AE175" s="197"/>
      <c r="AF175" s="197"/>
      <c r="AG175" s="197"/>
      <c r="AH175" s="197"/>
      <c r="AI175" s="197"/>
    </row>
    <row r="176" spans="1:35" ht="15">
      <c r="A176" s="197"/>
      <c r="B176" s="197"/>
      <c r="C176" s="197"/>
      <c r="D176" s="197"/>
      <c r="E176" s="197"/>
      <c r="F176" s="197"/>
      <c r="G176" s="197"/>
      <c r="H176" s="197"/>
      <c r="I176" s="197"/>
      <c r="J176" s="197"/>
      <c r="K176" s="197"/>
      <c r="L176" s="197"/>
      <c r="M176" s="197"/>
      <c r="N176" s="197"/>
      <c r="O176" s="197"/>
      <c r="P176" s="197"/>
      <c r="Q176" s="197"/>
      <c r="R176" s="197"/>
      <c r="S176" s="197"/>
      <c r="T176" s="197"/>
      <c r="U176" s="197"/>
      <c r="V176" s="197"/>
      <c r="W176" s="197"/>
      <c r="X176" s="197"/>
      <c r="Y176" s="197"/>
      <c r="Z176" s="197"/>
      <c r="AA176" s="197"/>
      <c r="AB176" s="197"/>
      <c r="AC176" s="197"/>
      <c r="AD176" s="197"/>
      <c r="AE176" s="197"/>
      <c r="AF176" s="197"/>
      <c r="AG176" s="197"/>
      <c r="AH176" s="197"/>
      <c r="AI176" s="197"/>
    </row>
    <row r="177" spans="1:35" ht="15">
      <c r="A177" s="197"/>
      <c r="B177" s="197"/>
      <c r="C177" s="197"/>
      <c r="D177" s="197"/>
      <c r="E177" s="197"/>
      <c r="F177" s="197"/>
      <c r="G177" s="197"/>
      <c r="H177" s="197"/>
      <c r="I177" s="197"/>
      <c r="J177" s="197"/>
      <c r="K177" s="197"/>
      <c r="L177" s="197"/>
      <c r="M177" s="197"/>
      <c r="N177" s="197"/>
      <c r="O177" s="197"/>
      <c r="P177" s="197"/>
      <c r="Q177" s="197"/>
      <c r="R177" s="197"/>
      <c r="S177" s="197"/>
      <c r="T177" s="197"/>
      <c r="U177" s="197"/>
      <c r="V177" s="197"/>
      <c r="W177" s="197"/>
      <c r="X177" s="197"/>
      <c r="Y177" s="197"/>
      <c r="Z177" s="197"/>
      <c r="AA177" s="197"/>
      <c r="AB177" s="197"/>
      <c r="AC177" s="197"/>
      <c r="AD177" s="197"/>
      <c r="AE177" s="197"/>
      <c r="AF177" s="197"/>
      <c r="AG177" s="197"/>
      <c r="AH177" s="197"/>
      <c r="AI177" s="197"/>
    </row>
    <row r="178" spans="1:35" ht="15">
      <c r="A178" s="197"/>
      <c r="B178" s="197"/>
      <c r="C178" s="197"/>
      <c r="D178" s="197"/>
      <c r="E178" s="197"/>
      <c r="F178" s="197"/>
      <c r="G178" s="197"/>
      <c r="H178" s="197"/>
      <c r="I178" s="197"/>
      <c r="J178" s="197"/>
      <c r="K178" s="197"/>
      <c r="L178" s="197"/>
      <c r="M178" s="197"/>
      <c r="N178" s="197"/>
      <c r="O178" s="197"/>
      <c r="P178" s="197"/>
      <c r="Q178" s="197"/>
      <c r="R178" s="197"/>
      <c r="S178" s="197"/>
      <c r="T178" s="197"/>
      <c r="U178" s="197"/>
      <c r="V178" s="197"/>
      <c r="W178" s="197"/>
      <c r="X178" s="197"/>
      <c r="Y178" s="197"/>
      <c r="Z178" s="197"/>
      <c r="AA178" s="197"/>
      <c r="AB178" s="197"/>
      <c r="AC178" s="197"/>
      <c r="AD178" s="197"/>
      <c r="AE178" s="197"/>
      <c r="AF178" s="197"/>
      <c r="AG178" s="197"/>
      <c r="AH178" s="197"/>
      <c r="AI178" s="197"/>
    </row>
    <row r="179" spans="1:35" ht="15">
      <c r="A179" s="197"/>
      <c r="B179" s="197"/>
      <c r="C179" s="197"/>
      <c r="D179" s="197"/>
      <c r="E179" s="197"/>
      <c r="F179" s="197"/>
      <c r="G179" s="197"/>
      <c r="H179" s="197"/>
      <c r="I179" s="197"/>
      <c r="J179" s="197"/>
      <c r="K179" s="197"/>
      <c r="L179" s="197"/>
      <c r="M179" s="197"/>
      <c r="N179" s="197"/>
      <c r="O179" s="197"/>
      <c r="P179" s="197"/>
      <c r="Q179" s="197"/>
      <c r="R179" s="197"/>
      <c r="S179" s="197"/>
      <c r="T179" s="197"/>
      <c r="U179" s="197"/>
      <c r="V179" s="197"/>
      <c r="W179" s="197"/>
      <c r="X179" s="197"/>
      <c r="Y179" s="197"/>
      <c r="Z179" s="197"/>
      <c r="AA179" s="197"/>
      <c r="AB179" s="197"/>
      <c r="AC179" s="197"/>
      <c r="AD179" s="197"/>
      <c r="AE179" s="197"/>
      <c r="AF179" s="197"/>
      <c r="AG179" s="197"/>
      <c r="AH179" s="197"/>
      <c r="AI179" s="197"/>
    </row>
    <row r="180" spans="1:35" ht="15">
      <c r="A180" s="197"/>
      <c r="B180" s="197"/>
      <c r="C180" s="197"/>
      <c r="D180" s="197"/>
      <c r="E180" s="197"/>
      <c r="F180" s="197"/>
      <c r="G180" s="197"/>
      <c r="H180" s="197"/>
      <c r="I180" s="197"/>
      <c r="J180" s="197"/>
      <c r="K180" s="197"/>
      <c r="L180" s="197"/>
      <c r="M180" s="197"/>
      <c r="N180" s="197"/>
      <c r="O180" s="197"/>
      <c r="P180" s="197"/>
      <c r="Q180" s="197"/>
      <c r="R180" s="197"/>
      <c r="S180" s="197"/>
      <c r="T180" s="197"/>
      <c r="U180" s="197"/>
      <c r="V180" s="197"/>
      <c r="W180" s="197"/>
      <c r="X180" s="197"/>
      <c r="Y180" s="197"/>
      <c r="Z180" s="197"/>
      <c r="AA180" s="197"/>
      <c r="AB180" s="197"/>
      <c r="AC180" s="197"/>
      <c r="AD180" s="197"/>
      <c r="AE180" s="197"/>
      <c r="AF180" s="197"/>
      <c r="AG180" s="197"/>
      <c r="AH180" s="197"/>
      <c r="AI180" s="197"/>
    </row>
    <row r="181" spans="1:35" ht="15">
      <c r="A181" s="197"/>
      <c r="B181" s="197"/>
      <c r="C181" s="197"/>
      <c r="D181" s="197"/>
      <c r="E181" s="197"/>
      <c r="F181" s="197"/>
      <c r="G181" s="197"/>
      <c r="H181" s="197"/>
      <c r="I181" s="197"/>
      <c r="J181" s="197"/>
      <c r="K181" s="197"/>
      <c r="L181" s="197"/>
      <c r="M181" s="197"/>
      <c r="N181" s="197"/>
      <c r="O181" s="197"/>
      <c r="P181" s="197"/>
      <c r="Q181" s="197"/>
      <c r="R181" s="197"/>
      <c r="S181" s="197"/>
      <c r="T181" s="197"/>
      <c r="U181" s="197"/>
      <c r="V181" s="197"/>
      <c r="W181" s="197"/>
      <c r="X181" s="197"/>
      <c r="Y181" s="197"/>
      <c r="Z181" s="197"/>
      <c r="AA181" s="197"/>
      <c r="AB181" s="197"/>
      <c r="AC181" s="197"/>
      <c r="AD181" s="197"/>
      <c r="AE181" s="197"/>
      <c r="AF181" s="197"/>
      <c r="AG181" s="197"/>
      <c r="AH181" s="197"/>
      <c r="AI181" s="197"/>
    </row>
    <row r="182" spans="1:35" ht="15">
      <c r="A182" s="197"/>
      <c r="B182" s="197"/>
      <c r="C182" s="197"/>
      <c r="D182" s="197"/>
      <c r="E182" s="197"/>
      <c r="F182" s="197"/>
      <c r="G182" s="197"/>
      <c r="H182" s="197"/>
      <c r="I182" s="197"/>
      <c r="J182" s="197"/>
      <c r="K182" s="197"/>
      <c r="L182" s="197"/>
      <c r="M182" s="197"/>
      <c r="N182" s="197"/>
      <c r="O182" s="197"/>
      <c r="P182" s="197"/>
      <c r="Q182" s="197"/>
      <c r="R182" s="197"/>
      <c r="S182" s="197"/>
      <c r="T182" s="197"/>
      <c r="U182" s="197"/>
      <c r="V182" s="197"/>
      <c r="W182" s="197"/>
      <c r="X182" s="197"/>
      <c r="Y182" s="197"/>
      <c r="Z182" s="197"/>
      <c r="AA182" s="197"/>
      <c r="AB182" s="197"/>
      <c r="AC182" s="197"/>
      <c r="AD182" s="197"/>
      <c r="AE182" s="197"/>
      <c r="AF182" s="197"/>
      <c r="AG182" s="197"/>
      <c r="AH182" s="197"/>
      <c r="AI182" s="197"/>
    </row>
    <row r="183" spans="1:35" ht="15">
      <c r="A183" s="197"/>
      <c r="B183" s="197"/>
      <c r="C183" s="197"/>
      <c r="D183" s="197"/>
      <c r="E183" s="197"/>
      <c r="F183" s="197"/>
      <c r="G183" s="197"/>
      <c r="H183" s="197"/>
      <c r="I183" s="197"/>
      <c r="J183" s="197"/>
      <c r="K183" s="197"/>
      <c r="L183" s="197"/>
      <c r="M183" s="197"/>
      <c r="N183" s="197"/>
      <c r="O183" s="197"/>
      <c r="P183" s="197"/>
      <c r="Q183" s="197"/>
      <c r="R183" s="197"/>
      <c r="S183" s="197"/>
      <c r="T183" s="197"/>
      <c r="U183" s="197"/>
      <c r="V183" s="197"/>
      <c r="W183" s="197"/>
      <c r="X183" s="197"/>
      <c r="Y183" s="197"/>
      <c r="Z183" s="197"/>
      <c r="AA183" s="197"/>
      <c r="AB183" s="197"/>
      <c r="AC183" s="197"/>
      <c r="AD183" s="197"/>
      <c r="AE183" s="197"/>
      <c r="AF183" s="197"/>
      <c r="AG183" s="197"/>
      <c r="AH183" s="197"/>
      <c r="AI183" s="197"/>
    </row>
    <row r="184" spans="1:35" ht="15">
      <c r="A184" s="197"/>
      <c r="B184" s="197"/>
      <c r="C184" s="197"/>
      <c r="D184" s="197"/>
      <c r="E184" s="197"/>
      <c r="F184" s="197"/>
      <c r="G184" s="197"/>
      <c r="H184" s="197"/>
      <c r="I184" s="197"/>
      <c r="J184" s="197"/>
      <c r="K184" s="197"/>
      <c r="L184" s="197"/>
      <c r="M184" s="197"/>
      <c r="N184" s="197"/>
      <c r="O184" s="197"/>
      <c r="P184" s="197"/>
      <c r="Q184" s="197"/>
      <c r="R184" s="197"/>
      <c r="S184" s="197"/>
      <c r="T184" s="197"/>
      <c r="U184" s="197"/>
      <c r="V184" s="197"/>
      <c r="W184" s="197"/>
      <c r="X184" s="197"/>
      <c r="Y184" s="197"/>
      <c r="Z184" s="197"/>
      <c r="AA184" s="197"/>
      <c r="AB184" s="197"/>
      <c r="AC184" s="197"/>
      <c r="AD184" s="197"/>
      <c r="AE184" s="197"/>
      <c r="AF184" s="197"/>
      <c r="AG184" s="197"/>
      <c r="AH184" s="197"/>
      <c r="AI184" s="197"/>
    </row>
    <row r="185" spans="1:35" ht="15">
      <c r="A185" s="197"/>
      <c r="B185" s="197"/>
      <c r="C185" s="197"/>
      <c r="D185" s="197"/>
      <c r="E185" s="197"/>
      <c r="F185" s="197"/>
      <c r="G185" s="197"/>
      <c r="H185" s="197"/>
      <c r="I185" s="197"/>
      <c r="J185" s="197"/>
      <c r="K185" s="197"/>
      <c r="L185" s="197"/>
      <c r="M185" s="197"/>
      <c r="N185" s="197"/>
      <c r="O185" s="197"/>
      <c r="P185" s="197"/>
      <c r="Q185" s="197"/>
      <c r="R185" s="197"/>
      <c r="S185" s="197"/>
      <c r="T185" s="197"/>
      <c r="U185" s="197"/>
      <c r="V185" s="197"/>
      <c r="W185" s="197"/>
      <c r="X185" s="197"/>
      <c r="Y185" s="197"/>
      <c r="Z185" s="197"/>
      <c r="AA185" s="197"/>
      <c r="AB185" s="197"/>
      <c r="AC185" s="197"/>
      <c r="AD185" s="197"/>
      <c r="AE185" s="197"/>
      <c r="AF185" s="197"/>
      <c r="AG185" s="197"/>
      <c r="AH185" s="197"/>
      <c r="AI185" s="197"/>
    </row>
    <row r="186" spans="1:35" ht="15">
      <c r="A186" s="197"/>
      <c r="B186" s="197"/>
      <c r="C186" s="197"/>
      <c r="D186" s="197"/>
      <c r="E186" s="197"/>
      <c r="F186" s="197"/>
      <c r="G186" s="197"/>
      <c r="H186" s="197"/>
      <c r="I186" s="197"/>
      <c r="J186" s="197"/>
      <c r="K186" s="197"/>
      <c r="L186" s="197"/>
      <c r="M186" s="197"/>
      <c r="N186" s="197"/>
      <c r="O186" s="197"/>
      <c r="P186" s="197"/>
      <c r="Q186" s="197"/>
      <c r="R186" s="197"/>
      <c r="S186" s="197"/>
      <c r="T186" s="197"/>
      <c r="U186" s="197"/>
      <c r="V186" s="197"/>
      <c r="W186" s="197"/>
      <c r="X186" s="197"/>
      <c r="Y186" s="197"/>
      <c r="Z186" s="197"/>
      <c r="AA186" s="197"/>
      <c r="AB186" s="197"/>
      <c r="AC186" s="197"/>
      <c r="AD186" s="197"/>
      <c r="AE186" s="197"/>
      <c r="AF186" s="197"/>
      <c r="AG186" s="197"/>
      <c r="AH186" s="197"/>
      <c r="AI186" s="197"/>
    </row>
    <row r="187" spans="1:35" ht="15">
      <c r="A187" s="197"/>
      <c r="B187" s="197"/>
      <c r="C187" s="197"/>
      <c r="D187" s="197"/>
      <c r="E187" s="197"/>
      <c r="F187" s="197"/>
      <c r="G187" s="197"/>
      <c r="H187" s="197"/>
      <c r="I187" s="197"/>
      <c r="J187" s="197"/>
      <c r="K187" s="197"/>
      <c r="L187" s="197"/>
      <c r="M187" s="197"/>
      <c r="N187" s="197"/>
      <c r="O187" s="197"/>
      <c r="P187" s="197"/>
      <c r="Q187" s="197"/>
      <c r="R187" s="197"/>
      <c r="S187" s="197"/>
      <c r="T187" s="197"/>
      <c r="U187" s="197"/>
      <c r="V187" s="197"/>
      <c r="W187" s="197"/>
      <c r="X187" s="197"/>
      <c r="Y187" s="197"/>
      <c r="Z187" s="197"/>
      <c r="AA187" s="197"/>
      <c r="AB187" s="197"/>
      <c r="AC187" s="197"/>
      <c r="AD187" s="197"/>
      <c r="AE187" s="197"/>
      <c r="AF187" s="197"/>
      <c r="AG187" s="197"/>
      <c r="AH187" s="197"/>
      <c r="AI187" s="197"/>
    </row>
    <row r="188" spans="1:35" ht="15">
      <c r="A188" s="197"/>
      <c r="B188" s="197"/>
      <c r="C188" s="197"/>
      <c r="D188" s="197"/>
      <c r="E188" s="197"/>
      <c r="F188" s="197"/>
      <c r="G188" s="197"/>
      <c r="H188" s="197"/>
      <c r="I188" s="197"/>
      <c r="J188" s="197"/>
      <c r="K188" s="197"/>
      <c r="L188" s="197"/>
      <c r="M188" s="197"/>
      <c r="N188" s="197"/>
      <c r="O188" s="197"/>
      <c r="P188" s="197"/>
      <c r="Q188" s="197"/>
      <c r="R188" s="197"/>
      <c r="S188" s="197"/>
      <c r="T188" s="197"/>
      <c r="U188" s="197"/>
      <c r="V188" s="197"/>
      <c r="W188" s="197"/>
      <c r="X188" s="197"/>
      <c r="Y188" s="197"/>
      <c r="Z188" s="197"/>
      <c r="AA188" s="197"/>
      <c r="AB188" s="197"/>
      <c r="AC188" s="197"/>
      <c r="AD188" s="197"/>
      <c r="AE188" s="197"/>
      <c r="AF188" s="197"/>
      <c r="AG188" s="197"/>
      <c r="AH188" s="197"/>
      <c r="AI188" s="197"/>
    </row>
    <row r="189" spans="1:35" ht="15">
      <c r="A189" s="197"/>
      <c r="B189" s="197"/>
      <c r="C189" s="197"/>
      <c r="D189" s="197"/>
      <c r="E189" s="197"/>
      <c r="F189" s="197"/>
      <c r="G189" s="197"/>
      <c r="H189" s="197"/>
      <c r="I189" s="197"/>
      <c r="J189" s="197"/>
      <c r="K189" s="197"/>
      <c r="L189" s="197"/>
      <c r="M189" s="197"/>
      <c r="N189" s="197"/>
      <c r="O189" s="197"/>
      <c r="P189" s="197"/>
      <c r="Q189" s="197"/>
      <c r="R189" s="197"/>
      <c r="S189" s="197"/>
      <c r="T189" s="197"/>
      <c r="U189" s="197"/>
      <c r="V189" s="197"/>
      <c r="W189" s="197"/>
      <c r="X189" s="197"/>
      <c r="Y189" s="197"/>
      <c r="Z189" s="197"/>
      <c r="AA189" s="197"/>
      <c r="AB189" s="197"/>
      <c r="AC189" s="197"/>
      <c r="AD189" s="197"/>
      <c r="AE189" s="197"/>
      <c r="AF189" s="197"/>
      <c r="AG189" s="197"/>
      <c r="AH189" s="197"/>
      <c r="AI189" s="197"/>
    </row>
    <row r="190" spans="1:35" ht="15">
      <c r="A190" s="197"/>
      <c r="B190" s="197"/>
      <c r="C190" s="197"/>
      <c r="D190" s="197"/>
      <c r="E190" s="197"/>
      <c r="F190" s="197"/>
      <c r="G190" s="197"/>
      <c r="H190" s="197"/>
      <c r="I190" s="197"/>
      <c r="J190" s="197"/>
      <c r="K190" s="197"/>
      <c r="L190" s="197"/>
      <c r="M190" s="197"/>
      <c r="N190" s="197"/>
      <c r="O190" s="197"/>
      <c r="P190" s="197"/>
      <c r="Q190" s="197"/>
      <c r="R190" s="197"/>
      <c r="S190" s="197"/>
      <c r="T190" s="197"/>
      <c r="U190" s="197"/>
      <c r="V190" s="197"/>
      <c r="W190" s="197"/>
      <c r="X190" s="197"/>
      <c r="Y190" s="197"/>
      <c r="Z190" s="197"/>
      <c r="AA190" s="197"/>
      <c r="AB190" s="197"/>
      <c r="AC190" s="197"/>
      <c r="AD190" s="197"/>
      <c r="AE190" s="197"/>
      <c r="AF190" s="197"/>
      <c r="AG190" s="197"/>
      <c r="AH190" s="197"/>
      <c r="AI190" s="197"/>
    </row>
    <row r="191" spans="1:35" ht="15">
      <c r="A191" s="197"/>
      <c r="B191" s="197"/>
      <c r="C191" s="197"/>
      <c r="D191" s="197"/>
      <c r="E191" s="197"/>
      <c r="F191" s="197"/>
      <c r="G191" s="197"/>
      <c r="H191" s="197"/>
      <c r="I191" s="197"/>
      <c r="J191" s="197"/>
      <c r="K191" s="197"/>
      <c r="L191" s="197"/>
      <c r="M191" s="197"/>
      <c r="N191" s="197"/>
      <c r="O191" s="197"/>
      <c r="P191" s="197"/>
      <c r="Q191" s="197"/>
      <c r="R191" s="197"/>
      <c r="S191" s="197"/>
      <c r="T191" s="197"/>
      <c r="U191" s="197"/>
      <c r="V191" s="197"/>
      <c r="W191" s="197"/>
      <c r="X191" s="197"/>
      <c r="Y191" s="197"/>
      <c r="Z191" s="197"/>
      <c r="AA191" s="197"/>
      <c r="AB191" s="197"/>
      <c r="AC191" s="197"/>
      <c r="AD191" s="197"/>
      <c r="AE191" s="197"/>
      <c r="AF191" s="197"/>
      <c r="AG191" s="197"/>
      <c r="AH191" s="197"/>
      <c r="AI191" s="197"/>
    </row>
    <row r="192" spans="1:35" ht="15">
      <c r="A192" s="197"/>
      <c r="B192" s="197"/>
      <c r="C192" s="197"/>
      <c r="D192" s="197"/>
      <c r="E192" s="197"/>
      <c r="F192" s="197"/>
      <c r="G192" s="197"/>
      <c r="H192" s="197"/>
      <c r="I192" s="197"/>
      <c r="J192" s="197"/>
      <c r="K192" s="197"/>
      <c r="L192" s="197"/>
      <c r="M192" s="197"/>
      <c r="N192" s="197"/>
      <c r="O192" s="197"/>
      <c r="P192" s="197"/>
      <c r="Q192" s="197"/>
      <c r="R192" s="197"/>
      <c r="S192" s="197"/>
      <c r="T192" s="197"/>
      <c r="U192" s="197"/>
      <c r="V192" s="197"/>
      <c r="W192" s="197"/>
      <c r="X192" s="197"/>
      <c r="Y192" s="197"/>
      <c r="Z192" s="197"/>
      <c r="AA192" s="197"/>
      <c r="AB192" s="197"/>
      <c r="AC192" s="197"/>
      <c r="AD192" s="197"/>
      <c r="AE192" s="197"/>
      <c r="AF192" s="197"/>
      <c r="AG192" s="197"/>
      <c r="AH192" s="197"/>
      <c r="AI192" s="197"/>
    </row>
    <row r="193" spans="1:35" ht="15">
      <c r="A193" s="197"/>
      <c r="B193" s="197"/>
      <c r="C193" s="197"/>
      <c r="D193" s="197"/>
      <c r="E193" s="197"/>
      <c r="F193" s="197"/>
      <c r="G193" s="197"/>
      <c r="H193" s="197"/>
      <c r="I193" s="197"/>
      <c r="J193" s="197"/>
      <c r="K193" s="197"/>
      <c r="L193" s="197"/>
      <c r="M193" s="197"/>
      <c r="N193" s="197"/>
      <c r="O193" s="197"/>
      <c r="P193" s="197"/>
      <c r="Q193" s="197"/>
      <c r="R193" s="197"/>
      <c r="S193" s="197"/>
      <c r="T193" s="197"/>
      <c r="U193" s="197"/>
      <c r="V193" s="197"/>
      <c r="W193" s="197"/>
      <c r="X193" s="197"/>
      <c r="Y193" s="197"/>
      <c r="Z193" s="197"/>
      <c r="AA193" s="197"/>
      <c r="AB193" s="197"/>
      <c r="AC193" s="197"/>
      <c r="AD193" s="197"/>
      <c r="AE193" s="197"/>
      <c r="AF193" s="197"/>
      <c r="AG193" s="197"/>
      <c r="AH193" s="197"/>
      <c r="AI193" s="197"/>
    </row>
    <row r="194" spans="1:35" ht="15">
      <c r="A194" s="197"/>
      <c r="B194" s="197"/>
      <c r="C194" s="197"/>
      <c r="D194" s="197"/>
      <c r="E194" s="197"/>
      <c r="F194" s="197"/>
      <c r="G194" s="197"/>
      <c r="H194" s="197"/>
      <c r="I194" s="197"/>
      <c r="J194" s="197"/>
      <c r="K194" s="197"/>
      <c r="L194" s="197"/>
      <c r="M194" s="197"/>
      <c r="N194" s="197"/>
      <c r="O194" s="197"/>
      <c r="P194" s="197"/>
      <c r="Q194" s="197"/>
      <c r="R194" s="197"/>
      <c r="S194" s="197"/>
      <c r="T194" s="197"/>
      <c r="U194" s="197"/>
      <c r="V194" s="197"/>
      <c r="W194" s="197"/>
      <c r="X194" s="197"/>
      <c r="Y194" s="197"/>
      <c r="Z194" s="197"/>
      <c r="AA194" s="197"/>
      <c r="AB194" s="197"/>
      <c r="AC194" s="197"/>
      <c r="AD194" s="197"/>
      <c r="AE194" s="197"/>
      <c r="AF194" s="197"/>
      <c r="AG194" s="197"/>
      <c r="AH194" s="197"/>
      <c r="AI194" s="197"/>
    </row>
    <row r="195" spans="1:35" ht="15">
      <c r="A195" s="197"/>
      <c r="B195" s="197"/>
      <c r="C195" s="197"/>
      <c r="D195" s="197"/>
      <c r="E195" s="197"/>
      <c r="F195" s="197"/>
      <c r="G195" s="197"/>
      <c r="H195" s="197"/>
      <c r="I195" s="197"/>
      <c r="J195" s="197"/>
      <c r="K195" s="197"/>
      <c r="L195" s="197"/>
      <c r="M195" s="197"/>
      <c r="N195" s="197"/>
      <c r="O195" s="197"/>
      <c r="P195" s="197"/>
      <c r="Q195" s="197"/>
      <c r="R195" s="197"/>
      <c r="S195" s="197"/>
      <c r="T195" s="197"/>
      <c r="U195" s="197"/>
      <c r="V195" s="197"/>
      <c r="W195" s="197"/>
      <c r="X195" s="197"/>
      <c r="Y195" s="197"/>
      <c r="Z195" s="197"/>
      <c r="AA195" s="197"/>
      <c r="AB195" s="197"/>
      <c r="AC195" s="197"/>
      <c r="AD195" s="197"/>
      <c r="AE195" s="197"/>
      <c r="AF195" s="197"/>
      <c r="AG195" s="197"/>
      <c r="AH195" s="197"/>
      <c r="AI195" s="197"/>
    </row>
    <row r="196" spans="1:35" ht="15">
      <c r="A196" s="197"/>
      <c r="B196" s="197"/>
      <c r="C196" s="197"/>
      <c r="D196" s="197"/>
      <c r="E196" s="197"/>
      <c r="F196" s="197"/>
      <c r="G196" s="197"/>
      <c r="H196" s="197"/>
      <c r="I196" s="197"/>
      <c r="J196" s="197"/>
      <c r="K196" s="197"/>
      <c r="L196" s="197"/>
      <c r="M196" s="197"/>
      <c r="N196" s="197"/>
      <c r="O196" s="197"/>
      <c r="P196" s="197"/>
      <c r="Q196" s="197"/>
      <c r="R196" s="197"/>
      <c r="S196" s="197"/>
      <c r="T196" s="197"/>
      <c r="U196" s="197"/>
      <c r="V196" s="197"/>
      <c r="W196" s="197"/>
      <c r="X196" s="197"/>
      <c r="Y196" s="197"/>
      <c r="Z196" s="197"/>
      <c r="AA196" s="197"/>
      <c r="AB196" s="197"/>
      <c r="AC196" s="197"/>
      <c r="AD196" s="197"/>
      <c r="AE196" s="197"/>
      <c r="AF196" s="197"/>
      <c r="AG196" s="197"/>
      <c r="AH196" s="197"/>
      <c r="AI196" s="197"/>
    </row>
    <row r="197" spans="1:35" ht="15">
      <c r="A197" s="197"/>
      <c r="B197" s="197"/>
      <c r="C197" s="197"/>
      <c r="D197" s="197"/>
      <c r="E197" s="197"/>
      <c r="F197" s="197"/>
      <c r="G197" s="197"/>
      <c r="H197" s="197"/>
      <c r="I197" s="197"/>
      <c r="J197" s="197"/>
      <c r="K197" s="197"/>
      <c r="L197" s="197"/>
      <c r="M197" s="197"/>
      <c r="N197" s="197"/>
      <c r="O197" s="197"/>
      <c r="P197" s="197"/>
      <c r="Q197" s="197"/>
      <c r="R197" s="197"/>
      <c r="S197" s="197"/>
      <c r="T197" s="197"/>
      <c r="U197" s="197"/>
      <c r="V197" s="197"/>
      <c r="W197" s="197"/>
      <c r="X197" s="197"/>
      <c r="Y197" s="197"/>
      <c r="Z197" s="197"/>
      <c r="AA197" s="197"/>
      <c r="AB197" s="197"/>
      <c r="AC197" s="197"/>
      <c r="AD197" s="197"/>
      <c r="AE197" s="197"/>
      <c r="AF197" s="197"/>
      <c r="AG197" s="197"/>
      <c r="AH197" s="197"/>
      <c r="AI197" s="197"/>
    </row>
    <row r="198" spans="1:35" ht="15">
      <c r="A198" s="197"/>
      <c r="B198" s="197"/>
      <c r="C198" s="197"/>
      <c r="D198" s="197"/>
      <c r="E198" s="197"/>
      <c r="F198" s="197"/>
      <c r="G198" s="197"/>
      <c r="H198" s="197"/>
      <c r="I198" s="197"/>
      <c r="J198" s="197"/>
      <c r="K198" s="197"/>
      <c r="L198" s="197"/>
      <c r="M198" s="197"/>
      <c r="N198" s="197"/>
      <c r="O198" s="197"/>
      <c r="P198" s="197"/>
      <c r="Q198" s="197"/>
      <c r="R198" s="197"/>
      <c r="S198" s="197"/>
      <c r="T198" s="197"/>
      <c r="U198" s="197"/>
      <c r="V198" s="197"/>
      <c r="W198" s="197"/>
      <c r="X198" s="197"/>
      <c r="Y198" s="197"/>
      <c r="Z198" s="197"/>
      <c r="AA198" s="197"/>
      <c r="AB198" s="197"/>
      <c r="AC198" s="197"/>
      <c r="AD198" s="197"/>
      <c r="AE198" s="197"/>
      <c r="AF198" s="197"/>
      <c r="AG198" s="197"/>
      <c r="AH198" s="197"/>
      <c r="AI198" s="197"/>
    </row>
    <row r="199" spans="1:35" ht="15">
      <c r="A199" s="197"/>
      <c r="B199" s="197"/>
      <c r="C199" s="197"/>
      <c r="D199" s="197"/>
      <c r="E199" s="197"/>
      <c r="F199" s="197"/>
      <c r="G199" s="197"/>
      <c r="H199" s="197"/>
      <c r="I199" s="197"/>
      <c r="J199" s="197"/>
      <c r="K199" s="197"/>
      <c r="L199" s="197"/>
      <c r="M199" s="197"/>
      <c r="N199" s="197"/>
      <c r="O199" s="197"/>
      <c r="P199" s="197"/>
      <c r="Q199" s="197"/>
      <c r="R199" s="197"/>
      <c r="S199" s="197"/>
      <c r="T199" s="197"/>
      <c r="U199" s="197"/>
      <c r="V199" s="197"/>
      <c r="W199" s="197"/>
      <c r="X199" s="197"/>
      <c r="Y199" s="197"/>
      <c r="Z199" s="197"/>
      <c r="AA199" s="197"/>
      <c r="AB199" s="197"/>
      <c r="AC199" s="197"/>
      <c r="AD199" s="197"/>
      <c r="AE199" s="197"/>
      <c r="AF199" s="197"/>
      <c r="AG199" s="197"/>
      <c r="AH199" s="197"/>
      <c r="AI199" s="197"/>
    </row>
    <row r="200" spans="1:35" ht="15">
      <c r="A200" s="197"/>
      <c r="B200" s="197"/>
      <c r="C200" s="197"/>
      <c r="D200" s="197"/>
      <c r="E200" s="197"/>
      <c r="F200" s="197"/>
      <c r="G200" s="197"/>
      <c r="H200" s="197"/>
      <c r="I200" s="197"/>
      <c r="J200" s="197"/>
      <c r="K200" s="197"/>
      <c r="L200" s="197"/>
      <c r="M200" s="197"/>
      <c r="N200" s="197"/>
      <c r="O200" s="197"/>
      <c r="P200" s="197"/>
      <c r="Q200" s="197"/>
      <c r="R200" s="197"/>
      <c r="S200" s="197"/>
      <c r="T200" s="197"/>
      <c r="U200" s="197"/>
      <c r="V200" s="197"/>
      <c r="W200" s="197"/>
      <c r="X200" s="197"/>
      <c r="Y200" s="197"/>
      <c r="Z200" s="197"/>
      <c r="AA200" s="197"/>
      <c r="AB200" s="197"/>
      <c r="AC200" s="197"/>
      <c r="AD200" s="197"/>
      <c r="AE200" s="197"/>
      <c r="AF200" s="197"/>
      <c r="AG200" s="197"/>
      <c r="AH200" s="197"/>
      <c r="AI200" s="197"/>
    </row>
    <row r="201" spans="1:35" ht="15">
      <c r="A201" s="197"/>
      <c r="B201" s="197"/>
      <c r="C201" s="197"/>
      <c r="D201" s="197"/>
      <c r="E201" s="197"/>
      <c r="F201" s="197"/>
      <c r="G201" s="197"/>
      <c r="H201" s="197"/>
      <c r="I201" s="197"/>
      <c r="J201" s="197"/>
      <c r="K201" s="197"/>
      <c r="L201" s="197"/>
      <c r="M201" s="197"/>
      <c r="N201" s="197"/>
      <c r="O201" s="197"/>
      <c r="P201" s="197"/>
      <c r="Q201" s="197"/>
      <c r="R201" s="197"/>
      <c r="S201" s="197"/>
      <c r="T201" s="197"/>
      <c r="U201" s="197"/>
      <c r="V201" s="197"/>
      <c r="W201" s="197"/>
      <c r="X201" s="197"/>
      <c r="Y201" s="197"/>
      <c r="Z201" s="197"/>
      <c r="AA201" s="197"/>
      <c r="AB201" s="197"/>
      <c r="AC201" s="197"/>
      <c r="AD201" s="197"/>
      <c r="AE201" s="197"/>
      <c r="AF201" s="197"/>
      <c r="AG201" s="197"/>
      <c r="AH201" s="197"/>
      <c r="AI201" s="197"/>
    </row>
    <row r="202" spans="1:35" ht="15">
      <c r="A202" s="197"/>
      <c r="B202" s="197"/>
      <c r="C202" s="197"/>
      <c r="D202" s="197"/>
      <c r="E202" s="197"/>
      <c r="F202" s="197"/>
      <c r="G202" s="197"/>
      <c r="H202" s="197"/>
      <c r="I202" s="197"/>
      <c r="J202" s="197"/>
      <c r="K202" s="197"/>
      <c r="L202" s="197"/>
      <c r="M202" s="197"/>
      <c r="N202" s="197"/>
      <c r="O202" s="197"/>
      <c r="P202" s="197"/>
      <c r="Q202" s="197"/>
      <c r="R202" s="197"/>
      <c r="S202" s="197"/>
      <c r="T202" s="197"/>
      <c r="U202" s="197"/>
      <c r="V202" s="197"/>
      <c r="W202" s="197"/>
      <c r="X202" s="197"/>
      <c r="Y202" s="197"/>
      <c r="Z202" s="197"/>
      <c r="AA202" s="197"/>
      <c r="AB202" s="197"/>
      <c r="AC202" s="197"/>
      <c r="AD202" s="197"/>
      <c r="AE202" s="197"/>
      <c r="AF202" s="197"/>
      <c r="AG202" s="197"/>
      <c r="AH202" s="197"/>
      <c r="AI202" s="197"/>
    </row>
    <row r="203" spans="1:35" ht="15">
      <c r="A203" s="197"/>
      <c r="B203" s="197"/>
      <c r="C203" s="197"/>
      <c r="D203" s="197"/>
      <c r="E203" s="197"/>
      <c r="F203" s="197"/>
      <c r="G203" s="197"/>
      <c r="H203" s="197"/>
      <c r="I203" s="197"/>
      <c r="J203" s="197"/>
      <c r="K203" s="197"/>
      <c r="L203" s="197"/>
      <c r="M203" s="197"/>
      <c r="N203" s="197"/>
      <c r="O203" s="197"/>
      <c r="P203" s="197"/>
      <c r="Q203" s="197"/>
      <c r="R203" s="197"/>
      <c r="S203" s="197"/>
      <c r="T203" s="197"/>
      <c r="U203" s="197"/>
      <c r="V203" s="197"/>
      <c r="W203" s="197"/>
      <c r="X203" s="197"/>
      <c r="Y203" s="197"/>
      <c r="Z203" s="197"/>
      <c r="AA203" s="197"/>
      <c r="AB203" s="197"/>
      <c r="AC203" s="197"/>
      <c r="AD203" s="197"/>
      <c r="AE203" s="197"/>
      <c r="AF203" s="197"/>
      <c r="AG203" s="197"/>
      <c r="AH203" s="197"/>
      <c r="AI203" s="197"/>
    </row>
    <row r="204" spans="1:35" ht="15">
      <c r="A204" s="197"/>
      <c r="B204" s="197"/>
      <c r="C204" s="197"/>
      <c r="D204" s="197"/>
      <c r="E204" s="197"/>
      <c r="F204" s="197"/>
      <c r="G204" s="197"/>
      <c r="H204" s="197"/>
      <c r="I204" s="197"/>
      <c r="J204" s="197"/>
      <c r="K204" s="197"/>
      <c r="L204" s="197"/>
      <c r="M204" s="197"/>
      <c r="N204" s="197"/>
      <c r="O204" s="197"/>
      <c r="P204" s="197"/>
      <c r="Q204" s="197"/>
      <c r="R204" s="197"/>
      <c r="S204" s="197"/>
      <c r="T204" s="197"/>
      <c r="U204" s="197"/>
      <c r="V204" s="197"/>
      <c r="W204" s="197"/>
      <c r="X204" s="197"/>
      <c r="Y204" s="197"/>
      <c r="Z204" s="197"/>
      <c r="AA204" s="197"/>
      <c r="AB204" s="197"/>
      <c r="AC204" s="197"/>
      <c r="AD204" s="197"/>
      <c r="AE204" s="197"/>
      <c r="AF204" s="197"/>
      <c r="AG204" s="197"/>
      <c r="AH204" s="197"/>
      <c r="AI204" s="197"/>
    </row>
    <row r="205" spans="1:35" ht="15">
      <c r="A205" s="197"/>
      <c r="B205" s="197"/>
      <c r="C205" s="197"/>
      <c r="D205" s="197"/>
      <c r="E205" s="197"/>
      <c r="F205" s="197"/>
      <c r="G205" s="197"/>
      <c r="H205" s="197"/>
      <c r="I205" s="197"/>
      <c r="J205" s="197"/>
      <c r="K205" s="197"/>
      <c r="L205" s="197"/>
      <c r="M205" s="197"/>
      <c r="N205" s="197"/>
      <c r="O205" s="197"/>
      <c r="P205" s="197"/>
      <c r="Q205" s="197"/>
      <c r="R205" s="197"/>
      <c r="S205" s="197"/>
      <c r="T205" s="197"/>
      <c r="U205" s="197"/>
      <c r="V205" s="197"/>
      <c r="W205" s="197"/>
      <c r="X205" s="197"/>
      <c r="Y205" s="197"/>
      <c r="Z205" s="197"/>
      <c r="AA205" s="197"/>
      <c r="AB205" s="197"/>
      <c r="AC205" s="197"/>
      <c r="AD205" s="197"/>
      <c r="AE205" s="197"/>
      <c r="AF205" s="197"/>
      <c r="AG205" s="197"/>
      <c r="AH205" s="197"/>
      <c r="AI205" s="197"/>
    </row>
    <row r="206" spans="1:35" ht="15">
      <c r="A206" s="197"/>
      <c r="B206" s="197"/>
      <c r="C206" s="197"/>
      <c r="D206" s="197"/>
      <c r="E206" s="197"/>
      <c r="F206" s="197"/>
      <c r="G206" s="197"/>
      <c r="H206" s="197"/>
      <c r="I206" s="197"/>
      <c r="J206" s="197"/>
      <c r="K206" s="197"/>
      <c r="L206" s="197"/>
      <c r="M206" s="197"/>
      <c r="N206" s="197"/>
      <c r="O206" s="197"/>
      <c r="P206" s="197"/>
      <c r="Q206" s="197"/>
      <c r="R206" s="197"/>
      <c r="S206" s="197"/>
      <c r="T206" s="197"/>
      <c r="U206" s="197"/>
      <c r="V206" s="197"/>
      <c r="W206" s="197"/>
      <c r="X206" s="197"/>
      <c r="Y206" s="197"/>
      <c r="Z206" s="197"/>
      <c r="AA206" s="197"/>
      <c r="AB206" s="197"/>
      <c r="AC206" s="197"/>
      <c r="AD206" s="197"/>
      <c r="AE206" s="197"/>
      <c r="AF206" s="197"/>
      <c r="AG206" s="197"/>
      <c r="AH206" s="197"/>
      <c r="AI206" s="197"/>
    </row>
    <row r="207" spans="1:35" ht="15">
      <c r="A207" s="197"/>
      <c r="B207" s="197"/>
      <c r="C207" s="197"/>
      <c r="D207" s="197"/>
      <c r="E207" s="197"/>
      <c r="F207" s="197"/>
      <c r="G207" s="197"/>
      <c r="H207" s="197"/>
      <c r="I207" s="197"/>
      <c r="J207" s="197"/>
      <c r="K207" s="197"/>
      <c r="L207" s="197"/>
      <c r="M207" s="197"/>
      <c r="N207" s="197"/>
      <c r="O207" s="197"/>
      <c r="P207" s="197"/>
      <c r="Q207" s="197"/>
      <c r="R207" s="197"/>
      <c r="S207" s="197"/>
      <c r="T207" s="197"/>
      <c r="U207" s="197"/>
      <c r="V207" s="197"/>
      <c r="W207" s="197"/>
      <c r="X207" s="197"/>
      <c r="Y207" s="197"/>
      <c r="Z207" s="197"/>
      <c r="AA207" s="197"/>
      <c r="AB207" s="197"/>
      <c r="AC207" s="197"/>
      <c r="AD207" s="197"/>
      <c r="AE207" s="197"/>
      <c r="AF207" s="197"/>
      <c r="AG207" s="197"/>
      <c r="AH207" s="197"/>
      <c r="AI207" s="197"/>
    </row>
    <row r="208" spans="1:35" ht="15">
      <c r="A208" s="197"/>
      <c r="B208" s="197"/>
      <c r="C208" s="197"/>
      <c r="D208" s="197"/>
      <c r="E208" s="197"/>
      <c r="F208" s="197"/>
      <c r="G208" s="197"/>
      <c r="H208" s="197"/>
      <c r="I208" s="197"/>
      <c r="J208" s="197"/>
      <c r="K208" s="197"/>
      <c r="L208" s="197"/>
      <c r="M208" s="197"/>
      <c r="N208" s="197"/>
      <c r="O208" s="197"/>
      <c r="P208" s="197"/>
      <c r="Q208" s="197"/>
      <c r="R208" s="197"/>
      <c r="S208" s="197"/>
      <c r="T208" s="197"/>
      <c r="U208" s="197"/>
      <c r="V208" s="197"/>
      <c r="W208" s="197"/>
      <c r="X208" s="197"/>
      <c r="Y208" s="197"/>
      <c r="Z208" s="197"/>
      <c r="AA208" s="197"/>
      <c r="AB208" s="197"/>
      <c r="AC208" s="197"/>
      <c r="AD208" s="197"/>
      <c r="AE208" s="197"/>
      <c r="AF208" s="197"/>
      <c r="AG208" s="197"/>
      <c r="AH208" s="197"/>
      <c r="AI208" s="197"/>
    </row>
    <row r="209" spans="1:35" ht="15">
      <c r="A209" s="197"/>
      <c r="B209" s="197"/>
      <c r="C209" s="197"/>
      <c r="D209" s="197"/>
      <c r="E209" s="197"/>
      <c r="F209" s="197"/>
      <c r="G209" s="197"/>
      <c r="H209" s="197"/>
      <c r="I209" s="197"/>
      <c r="J209" s="197"/>
      <c r="K209" s="197"/>
      <c r="L209" s="197"/>
      <c r="M209" s="197"/>
      <c r="N209" s="197"/>
      <c r="O209" s="197"/>
      <c r="P209" s="197"/>
      <c r="Q209" s="197"/>
      <c r="R209" s="197"/>
      <c r="S209" s="197"/>
      <c r="T209" s="197"/>
      <c r="U209" s="197"/>
      <c r="V209" s="197"/>
      <c r="W209" s="197"/>
      <c r="X209" s="197"/>
      <c r="Y209" s="197"/>
      <c r="Z209" s="197"/>
      <c r="AA209" s="197"/>
      <c r="AB209" s="197"/>
      <c r="AC209" s="197"/>
      <c r="AD209" s="197"/>
      <c r="AE209" s="197"/>
      <c r="AF209" s="197"/>
      <c r="AG209" s="197"/>
      <c r="AH209" s="197"/>
      <c r="AI209" s="197"/>
    </row>
    <row r="210" spans="1:35" ht="15">
      <c r="A210" s="197"/>
      <c r="B210" s="197"/>
      <c r="C210" s="197"/>
      <c r="D210" s="197"/>
      <c r="E210" s="197"/>
      <c r="F210" s="197"/>
      <c r="G210" s="197"/>
      <c r="H210" s="197"/>
      <c r="I210" s="197"/>
      <c r="J210" s="197"/>
      <c r="K210" s="197"/>
      <c r="L210" s="197"/>
      <c r="M210" s="197"/>
      <c r="N210" s="197"/>
      <c r="O210" s="197"/>
      <c r="P210" s="197"/>
      <c r="Q210" s="197"/>
      <c r="R210" s="197"/>
      <c r="S210" s="197"/>
      <c r="T210" s="197"/>
      <c r="U210" s="197"/>
      <c r="V210" s="197"/>
      <c r="W210" s="197"/>
      <c r="X210" s="197"/>
      <c r="Y210" s="197"/>
      <c r="Z210" s="197"/>
      <c r="AA210" s="197"/>
      <c r="AB210" s="197"/>
      <c r="AC210" s="197"/>
      <c r="AD210" s="197"/>
      <c r="AE210" s="197"/>
      <c r="AF210" s="197"/>
      <c r="AG210" s="197"/>
      <c r="AH210" s="197"/>
      <c r="AI210" s="197"/>
    </row>
    <row r="211" spans="1:35" ht="15">
      <c r="A211" s="197"/>
      <c r="B211" s="197"/>
      <c r="C211" s="197"/>
      <c r="D211" s="197"/>
      <c r="E211" s="197"/>
      <c r="F211" s="197"/>
      <c r="G211" s="197"/>
      <c r="H211" s="197"/>
      <c r="I211" s="197"/>
      <c r="J211" s="197"/>
      <c r="K211" s="197"/>
      <c r="L211" s="197"/>
      <c r="M211" s="197"/>
      <c r="N211" s="197"/>
      <c r="O211" s="197"/>
      <c r="P211" s="197"/>
      <c r="Q211" s="197"/>
      <c r="R211" s="197"/>
      <c r="S211" s="197"/>
      <c r="T211" s="197"/>
      <c r="U211" s="197"/>
      <c r="V211" s="197"/>
      <c r="W211" s="197"/>
      <c r="X211" s="197"/>
      <c r="Y211" s="197"/>
      <c r="Z211" s="197"/>
      <c r="AA211" s="197"/>
      <c r="AB211" s="197"/>
      <c r="AC211" s="197"/>
      <c r="AD211" s="197"/>
      <c r="AE211" s="197"/>
      <c r="AF211" s="197"/>
      <c r="AG211" s="197"/>
      <c r="AH211" s="197"/>
      <c r="AI211" s="197"/>
    </row>
    <row r="212" spans="1:35" ht="15">
      <c r="A212" s="197"/>
      <c r="B212" s="197"/>
      <c r="C212" s="197"/>
      <c r="D212" s="197"/>
      <c r="E212" s="197"/>
      <c r="F212" s="197"/>
      <c r="G212" s="197"/>
      <c r="H212" s="197"/>
      <c r="I212" s="197"/>
      <c r="J212" s="197"/>
      <c r="K212" s="197"/>
      <c r="L212" s="197"/>
      <c r="M212" s="197"/>
      <c r="N212" s="197"/>
      <c r="O212" s="197"/>
      <c r="P212" s="197"/>
      <c r="Q212" s="197"/>
      <c r="R212" s="197"/>
      <c r="S212" s="197"/>
      <c r="T212" s="197"/>
      <c r="U212" s="197"/>
      <c r="V212" s="197"/>
      <c r="W212" s="197"/>
      <c r="X212" s="197"/>
      <c r="Y212" s="197"/>
      <c r="Z212" s="197"/>
      <c r="AA212" s="197"/>
      <c r="AB212" s="197"/>
      <c r="AC212" s="197"/>
      <c r="AD212" s="197"/>
      <c r="AE212" s="197"/>
      <c r="AF212" s="197"/>
      <c r="AG212" s="197"/>
      <c r="AH212" s="197"/>
      <c r="AI212" s="197"/>
    </row>
    <row r="213" spans="1:35" ht="15">
      <c r="A213" s="197"/>
      <c r="B213" s="197"/>
      <c r="C213" s="197"/>
      <c r="D213" s="197"/>
      <c r="E213" s="197"/>
      <c r="F213" s="197"/>
      <c r="G213" s="197"/>
      <c r="H213" s="197"/>
      <c r="I213" s="197"/>
      <c r="J213" s="197"/>
      <c r="K213" s="197"/>
      <c r="L213" s="197"/>
      <c r="M213" s="197"/>
      <c r="N213" s="197"/>
      <c r="O213" s="197"/>
      <c r="P213" s="197"/>
      <c r="Q213" s="197"/>
      <c r="R213" s="197"/>
      <c r="S213" s="197"/>
      <c r="T213" s="197"/>
      <c r="U213" s="197"/>
      <c r="V213" s="197"/>
      <c r="W213" s="197"/>
      <c r="X213" s="197"/>
      <c r="Y213" s="197"/>
      <c r="Z213" s="197"/>
      <c r="AA213" s="197"/>
      <c r="AB213" s="197"/>
      <c r="AC213" s="197"/>
      <c r="AD213" s="197"/>
      <c r="AE213" s="197"/>
      <c r="AF213" s="197"/>
      <c r="AG213" s="197"/>
      <c r="AH213" s="197"/>
      <c r="AI213" s="197"/>
    </row>
    <row r="214" spans="1:35" ht="15">
      <c r="A214" s="197"/>
      <c r="B214" s="197"/>
      <c r="C214" s="197"/>
      <c r="D214" s="197"/>
      <c r="E214" s="197"/>
      <c r="F214" s="197"/>
      <c r="G214" s="197"/>
      <c r="H214" s="197"/>
      <c r="I214" s="197"/>
      <c r="J214" s="197"/>
      <c r="K214" s="197"/>
      <c r="L214" s="197"/>
      <c r="M214" s="197"/>
      <c r="N214" s="197"/>
      <c r="O214" s="197"/>
      <c r="P214" s="197"/>
      <c r="Q214" s="197"/>
      <c r="R214" s="197"/>
      <c r="S214" s="197"/>
      <c r="T214" s="197"/>
      <c r="U214" s="197"/>
      <c r="V214" s="197"/>
      <c r="W214" s="197"/>
      <c r="X214" s="197"/>
      <c r="Y214" s="197"/>
      <c r="Z214" s="197"/>
      <c r="AA214" s="197"/>
      <c r="AB214" s="197"/>
      <c r="AC214" s="197"/>
      <c r="AD214" s="197"/>
      <c r="AE214" s="197"/>
      <c r="AF214" s="197"/>
      <c r="AG214" s="197"/>
      <c r="AH214" s="197"/>
      <c r="AI214" s="197"/>
    </row>
    <row r="215" spans="1:35" ht="15">
      <c r="A215" s="197"/>
      <c r="B215" s="197"/>
      <c r="C215" s="197"/>
      <c r="D215" s="197"/>
      <c r="E215" s="197"/>
      <c r="F215" s="197"/>
      <c r="G215" s="197"/>
      <c r="H215" s="197"/>
      <c r="I215" s="197"/>
      <c r="J215" s="197"/>
      <c r="K215" s="197"/>
      <c r="L215" s="197"/>
      <c r="M215" s="197"/>
      <c r="N215" s="197"/>
      <c r="O215" s="197"/>
      <c r="P215" s="197"/>
      <c r="Q215" s="197"/>
      <c r="R215" s="197"/>
      <c r="S215" s="197"/>
      <c r="T215" s="197"/>
      <c r="U215" s="197"/>
      <c r="V215" s="197"/>
      <c r="W215" s="197"/>
      <c r="X215" s="197"/>
      <c r="Y215" s="197"/>
      <c r="Z215" s="197"/>
      <c r="AA215" s="197"/>
      <c r="AB215" s="197"/>
      <c r="AC215" s="197"/>
      <c r="AD215" s="197"/>
      <c r="AE215" s="197"/>
      <c r="AF215" s="197"/>
      <c r="AG215" s="197"/>
      <c r="AH215" s="197"/>
      <c r="AI215" s="197"/>
    </row>
    <row r="216" spans="1:35" ht="15">
      <c r="A216" s="197"/>
      <c r="B216" s="197"/>
      <c r="C216" s="197"/>
      <c r="D216" s="197"/>
      <c r="E216" s="197"/>
      <c r="F216" s="197"/>
      <c r="G216" s="197"/>
      <c r="H216" s="197"/>
      <c r="I216" s="197"/>
      <c r="J216" s="197"/>
      <c r="K216" s="197"/>
      <c r="L216" s="197"/>
      <c r="M216" s="197"/>
      <c r="N216" s="197"/>
      <c r="O216" s="197"/>
      <c r="P216" s="197"/>
      <c r="Q216" s="197"/>
      <c r="R216" s="197"/>
      <c r="S216" s="197"/>
      <c r="T216" s="197"/>
      <c r="U216" s="197"/>
      <c r="V216" s="197"/>
      <c r="W216" s="197"/>
      <c r="X216" s="197"/>
      <c r="Y216" s="197"/>
      <c r="Z216" s="197"/>
      <c r="AA216" s="197"/>
      <c r="AB216" s="197"/>
      <c r="AC216" s="197"/>
      <c r="AD216" s="197"/>
      <c r="AE216" s="197"/>
      <c r="AF216" s="197"/>
      <c r="AG216" s="197"/>
      <c r="AH216" s="197"/>
      <c r="AI216" s="197"/>
    </row>
    <row r="217" spans="1:35" ht="15">
      <c r="A217" s="197"/>
      <c r="B217" s="197"/>
      <c r="C217" s="197"/>
      <c r="D217" s="197"/>
      <c r="E217" s="197"/>
      <c r="F217" s="197"/>
      <c r="G217" s="197"/>
      <c r="H217" s="197"/>
      <c r="I217" s="197"/>
      <c r="J217" s="197"/>
      <c r="K217" s="197"/>
      <c r="L217" s="197"/>
      <c r="M217" s="197"/>
      <c r="N217" s="197"/>
      <c r="O217" s="197"/>
      <c r="P217" s="197"/>
      <c r="Q217" s="197"/>
      <c r="R217" s="197"/>
      <c r="S217" s="197"/>
      <c r="T217" s="197"/>
      <c r="U217" s="197"/>
      <c r="V217" s="197"/>
      <c r="W217" s="197"/>
      <c r="X217" s="197"/>
      <c r="Y217" s="197"/>
      <c r="Z217" s="197"/>
      <c r="AA217" s="197"/>
      <c r="AB217" s="197"/>
      <c r="AC217" s="197"/>
      <c r="AD217" s="197"/>
      <c r="AE217" s="197"/>
      <c r="AF217" s="197"/>
      <c r="AG217" s="197"/>
      <c r="AH217" s="197"/>
      <c r="AI217" s="197"/>
    </row>
    <row r="218" spans="1:35" ht="15">
      <c r="A218" s="197"/>
      <c r="B218" s="197"/>
      <c r="C218" s="197"/>
      <c r="D218" s="197"/>
      <c r="E218" s="197"/>
      <c r="F218" s="197"/>
      <c r="G218" s="197"/>
      <c r="H218" s="197"/>
      <c r="I218" s="197"/>
      <c r="J218" s="197"/>
      <c r="K218" s="197"/>
      <c r="L218" s="197"/>
      <c r="M218" s="197"/>
      <c r="N218" s="197"/>
      <c r="O218" s="197"/>
      <c r="P218" s="197"/>
      <c r="Q218" s="197"/>
      <c r="R218" s="197"/>
      <c r="S218" s="197"/>
      <c r="T218" s="197"/>
      <c r="U218" s="197"/>
      <c r="V218" s="197"/>
      <c r="W218" s="197"/>
      <c r="X218" s="197"/>
      <c r="Y218" s="197"/>
      <c r="Z218" s="197"/>
      <c r="AA218" s="197"/>
      <c r="AB218" s="197"/>
      <c r="AC218" s="197"/>
      <c r="AD218" s="197"/>
      <c r="AE218" s="197"/>
      <c r="AF218" s="197"/>
      <c r="AG218" s="197"/>
      <c r="AH218" s="197"/>
      <c r="AI218" s="197"/>
    </row>
    <row r="219" spans="1:35" ht="15">
      <c r="A219" s="197"/>
      <c r="B219" s="197"/>
      <c r="C219" s="197"/>
      <c r="D219" s="197"/>
      <c r="E219" s="197"/>
      <c r="F219" s="197"/>
      <c r="G219" s="197"/>
      <c r="H219" s="197"/>
      <c r="I219" s="197"/>
      <c r="J219" s="197"/>
      <c r="K219" s="197"/>
      <c r="L219" s="197"/>
      <c r="M219" s="197"/>
      <c r="N219" s="197"/>
      <c r="O219" s="197"/>
      <c r="P219" s="197"/>
      <c r="Q219" s="197"/>
      <c r="R219" s="197"/>
      <c r="S219" s="197"/>
      <c r="T219" s="197"/>
      <c r="U219" s="197"/>
      <c r="V219" s="197"/>
      <c r="W219" s="197"/>
      <c r="X219" s="197"/>
      <c r="Y219" s="197"/>
      <c r="Z219" s="197"/>
      <c r="AA219" s="197"/>
      <c r="AB219" s="197"/>
      <c r="AC219" s="197"/>
      <c r="AD219" s="197"/>
      <c r="AE219" s="197"/>
      <c r="AF219" s="197"/>
      <c r="AG219" s="197"/>
      <c r="AH219" s="197"/>
      <c r="AI219" s="197"/>
    </row>
    <row r="220" spans="1:35" ht="15">
      <c r="A220" s="197"/>
      <c r="B220" s="197"/>
      <c r="C220" s="197"/>
      <c r="D220" s="197"/>
      <c r="E220" s="197"/>
      <c r="F220" s="197"/>
      <c r="G220" s="197"/>
      <c r="H220" s="197"/>
      <c r="I220" s="197"/>
      <c r="J220" s="197"/>
      <c r="K220" s="197"/>
      <c r="L220" s="197"/>
      <c r="M220" s="197"/>
      <c r="N220" s="197"/>
      <c r="O220" s="197"/>
      <c r="P220" s="197"/>
      <c r="Q220" s="197"/>
      <c r="R220" s="197"/>
      <c r="S220" s="197"/>
      <c r="T220" s="197"/>
      <c r="U220" s="197"/>
      <c r="V220" s="197"/>
      <c r="W220" s="197"/>
      <c r="X220" s="197"/>
      <c r="Y220" s="197"/>
      <c r="Z220" s="197"/>
      <c r="AA220" s="197"/>
      <c r="AB220" s="197"/>
      <c r="AC220" s="197"/>
      <c r="AD220" s="197"/>
      <c r="AE220" s="197"/>
      <c r="AF220" s="197"/>
      <c r="AG220" s="197"/>
      <c r="AH220" s="197"/>
      <c r="AI220" s="197"/>
    </row>
    <row r="221" spans="1:35" ht="15">
      <c r="A221" s="197"/>
      <c r="B221" s="197"/>
      <c r="C221" s="197"/>
      <c r="D221" s="197"/>
      <c r="E221" s="197"/>
      <c r="F221" s="197"/>
      <c r="G221" s="197"/>
      <c r="H221" s="197"/>
      <c r="I221" s="197"/>
      <c r="J221" s="197"/>
      <c r="K221" s="197"/>
      <c r="L221" s="197"/>
      <c r="M221" s="197"/>
      <c r="N221" s="197"/>
      <c r="O221" s="197"/>
      <c r="P221" s="197"/>
      <c r="Q221" s="197"/>
      <c r="R221" s="197"/>
      <c r="S221" s="197"/>
      <c r="T221" s="197"/>
      <c r="U221" s="197"/>
      <c r="V221" s="197"/>
      <c r="W221" s="197"/>
      <c r="X221" s="197"/>
      <c r="Y221" s="197"/>
      <c r="Z221" s="197"/>
      <c r="AA221" s="197"/>
      <c r="AB221" s="197"/>
      <c r="AC221" s="197"/>
      <c r="AD221" s="197"/>
      <c r="AE221" s="197"/>
      <c r="AF221" s="197"/>
      <c r="AG221" s="197"/>
      <c r="AH221" s="197"/>
      <c r="AI221" s="197"/>
    </row>
    <row r="222" spans="1:35" ht="15">
      <c r="A222" s="197"/>
      <c r="B222" s="197"/>
      <c r="C222" s="197"/>
      <c r="D222" s="197"/>
      <c r="E222" s="197"/>
      <c r="F222" s="197"/>
      <c r="G222" s="197"/>
      <c r="H222" s="197"/>
      <c r="I222" s="197"/>
      <c r="J222" s="197"/>
      <c r="K222" s="197"/>
      <c r="L222" s="197"/>
      <c r="M222" s="197"/>
      <c r="N222" s="197"/>
      <c r="O222" s="197"/>
      <c r="P222" s="197"/>
      <c r="Q222" s="197"/>
      <c r="R222" s="197"/>
      <c r="S222" s="197"/>
      <c r="T222" s="197"/>
      <c r="U222" s="197"/>
      <c r="V222" s="197"/>
      <c r="W222" s="197"/>
      <c r="X222" s="197"/>
      <c r="Y222" s="197"/>
      <c r="Z222" s="197"/>
      <c r="AA222" s="197"/>
      <c r="AB222" s="197"/>
      <c r="AC222" s="197"/>
      <c r="AD222" s="197"/>
      <c r="AE222" s="197"/>
      <c r="AF222" s="197"/>
      <c r="AG222" s="197"/>
      <c r="AH222" s="197"/>
      <c r="AI222" s="197"/>
    </row>
    <row r="223" spans="1:35" ht="15">
      <c r="A223" s="197"/>
      <c r="B223" s="197"/>
      <c r="C223" s="197"/>
      <c r="D223" s="197"/>
      <c r="E223" s="197"/>
      <c r="F223" s="197"/>
      <c r="G223" s="197"/>
      <c r="H223" s="197"/>
      <c r="I223" s="197"/>
      <c r="J223" s="197"/>
      <c r="K223" s="197"/>
      <c r="L223" s="197"/>
      <c r="M223" s="197"/>
      <c r="N223" s="197"/>
      <c r="O223" s="197"/>
      <c r="P223" s="197"/>
      <c r="Q223" s="197"/>
      <c r="R223" s="197"/>
      <c r="S223" s="197"/>
      <c r="T223" s="197"/>
      <c r="U223" s="197"/>
      <c r="V223" s="197"/>
      <c r="W223" s="197"/>
      <c r="X223" s="197"/>
      <c r="Y223" s="197"/>
      <c r="Z223" s="197"/>
      <c r="AA223" s="197"/>
      <c r="AB223" s="197"/>
      <c r="AC223" s="197"/>
      <c r="AD223" s="197"/>
      <c r="AE223" s="197"/>
      <c r="AF223" s="197"/>
      <c r="AG223" s="197"/>
      <c r="AH223" s="197"/>
      <c r="AI223" s="197"/>
    </row>
    <row r="224" spans="1:35" ht="15">
      <c r="A224" s="197"/>
      <c r="B224" s="197"/>
      <c r="C224" s="197"/>
      <c r="D224" s="197"/>
      <c r="E224" s="197"/>
      <c r="F224" s="197"/>
      <c r="G224" s="197"/>
      <c r="H224" s="197"/>
      <c r="I224" s="197"/>
      <c r="J224" s="197"/>
      <c r="K224" s="197"/>
      <c r="L224" s="197"/>
      <c r="M224" s="197"/>
      <c r="N224" s="197"/>
      <c r="O224" s="197"/>
      <c r="P224" s="197"/>
      <c r="Q224" s="197"/>
      <c r="R224" s="197"/>
      <c r="S224" s="197"/>
      <c r="T224" s="197"/>
      <c r="U224" s="197"/>
      <c r="V224" s="197"/>
      <c r="W224" s="197"/>
      <c r="X224" s="197"/>
      <c r="Y224" s="197"/>
      <c r="Z224" s="197"/>
      <c r="AA224" s="197"/>
      <c r="AB224" s="197"/>
      <c r="AC224" s="197"/>
      <c r="AD224" s="197"/>
      <c r="AE224" s="197"/>
      <c r="AF224" s="197"/>
      <c r="AG224" s="197"/>
      <c r="AH224" s="197"/>
      <c r="AI224" s="197"/>
    </row>
    <row r="225" spans="1:35" ht="15">
      <c r="A225" s="197"/>
      <c r="B225" s="197"/>
      <c r="C225" s="197"/>
      <c r="D225" s="197"/>
      <c r="E225" s="197"/>
      <c r="F225" s="197"/>
      <c r="G225" s="197"/>
      <c r="H225" s="197"/>
      <c r="I225" s="197"/>
      <c r="J225" s="197"/>
      <c r="K225" s="197"/>
      <c r="L225" s="197"/>
      <c r="M225" s="197"/>
      <c r="N225" s="197"/>
      <c r="O225" s="197"/>
      <c r="P225" s="197"/>
      <c r="Q225" s="197"/>
      <c r="R225" s="197"/>
      <c r="S225" s="197"/>
      <c r="T225" s="197"/>
      <c r="U225" s="197"/>
      <c r="V225" s="197"/>
      <c r="W225" s="197"/>
      <c r="X225" s="197"/>
      <c r="Y225" s="197"/>
      <c r="Z225" s="197"/>
      <c r="AA225" s="197"/>
      <c r="AB225" s="197"/>
      <c r="AC225" s="197"/>
      <c r="AD225" s="197"/>
      <c r="AE225" s="197"/>
      <c r="AF225" s="197"/>
      <c r="AG225" s="197"/>
      <c r="AH225" s="197"/>
      <c r="AI225" s="197"/>
    </row>
    <row r="226" spans="1:35" ht="15">
      <c r="A226" s="197"/>
      <c r="B226" s="197"/>
      <c r="C226" s="197"/>
      <c r="D226" s="197"/>
      <c r="E226" s="197"/>
      <c r="F226" s="197"/>
      <c r="G226" s="197"/>
      <c r="H226" s="197"/>
      <c r="I226" s="197"/>
      <c r="J226" s="197"/>
      <c r="K226" s="197"/>
      <c r="L226" s="197"/>
      <c r="M226" s="197"/>
      <c r="N226" s="197"/>
      <c r="O226" s="197"/>
      <c r="P226" s="197"/>
      <c r="Q226" s="197"/>
      <c r="R226" s="197"/>
      <c r="S226" s="197"/>
      <c r="T226" s="197"/>
      <c r="U226" s="197"/>
      <c r="V226" s="197"/>
      <c r="W226" s="197"/>
      <c r="X226" s="197"/>
      <c r="Y226" s="197"/>
      <c r="Z226" s="197"/>
      <c r="AA226" s="197"/>
      <c r="AB226" s="197"/>
      <c r="AC226" s="197"/>
      <c r="AD226" s="197"/>
      <c r="AE226" s="197"/>
      <c r="AF226" s="197"/>
      <c r="AG226" s="197"/>
      <c r="AH226" s="197"/>
      <c r="AI226" s="197"/>
    </row>
    <row r="227" spans="1:35" ht="15">
      <c r="A227" s="197"/>
      <c r="B227" s="197"/>
      <c r="C227" s="197"/>
      <c r="D227" s="197"/>
      <c r="E227" s="197"/>
      <c r="F227" s="197"/>
      <c r="G227" s="197"/>
      <c r="H227" s="197"/>
      <c r="I227" s="197"/>
      <c r="J227" s="197"/>
      <c r="K227" s="197"/>
      <c r="L227" s="197"/>
      <c r="M227" s="197"/>
      <c r="N227" s="197"/>
      <c r="O227" s="197"/>
      <c r="P227" s="197"/>
      <c r="Q227" s="197"/>
      <c r="R227" s="197"/>
      <c r="S227" s="197"/>
      <c r="T227" s="197"/>
      <c r="U227" s="197"/>
      <c r="V227" s="197"/>
      <c r="W227" s="197"/>
      <c r="X227" s="197"/>
      <c r="Y227" s="197"/>
      <c r="Z227" s="197"/>
      <c r="AA227" s="197"/>
      <c r="AB227" s="197"/>
      <c r="AC227" s="197"/>
      <c r="AD227" s="197"/>
      <c r="AE227" s="197"/>
      <c r="AF227" s="197"/>
      <c r="AG227" s="197"/>
      <c r="AH227" s="197"/>
      <c r="AI227" s="197"/>
    </row>
    <row r="228" spans="1:35" ht="15">
      <c r="A228" s="197"/>
      <c r="B228" s="197"/>
      <c r="C228" s="197"/>
      <c r="D228" s="197"/>
      <c r="E228" s="197"/>
      <c r="F228" s="197"/>
      <c r="G228" s="197"/>
      <c r="H228" s="197"/>
      <c r="I228" s="197"/>
      <c r="J228" s="197"/>
      <c r="K228" s="197"/>
      <c r="L228" s="197"/>
      <c r="M228" s="197"/>
      <c r="N228" s="197"/>
      <c r="O228" s="197"/>
      <c r="P228" s="197"/>
      <c r="Q228" s="197"/>
      <c r="R228" s="197"/>
      <c r="S228" s="197"/>
      <c r="T228" s="197"/>
      <c r="U228" s="197"/>
      <c r="V228" s="197"/>
      <c r="W228" s="197"/>
      <c r="X228" s="197"/>
      <c r="Y228" s="197"/>
      <c r="Z228" s="197"/>
      <c r="AA228" s="197"/>
      <c r="AB228" s="197"/>
      <c r="AC228" s="197"/>
      <c r="AD228" s="197"/>
      <c r="AE228" s="197"/>
      <c r="AF228" s="197"/>
      <c r="AG228" s="197"/>
      <c r="AH228" s="197"/>
      <c r="AI228" s="197"/>
    </row>
    <row r="229" spans="1:35" ht="15">
      <c r="A229" s="197"/>
      <c r="B229" s="197"/>
      <c r="C229" s="197"/>
      <c r="D229" s="197"/>
      <c r="E229" s="197"/>
      <c r="F229" s="197"/>
      <c r="G229" s="197"/>
      <c r="H229" s="197"/>
      <c r="I229" s="197"/>
      <c r="J229" s="197"/>
      <c r="K229" s="197"/>
      <c r="L229" s="197"/>
      <c r="M229" s="197"/>
      <c r="N229" s="197"/>
      <c r="O229" s="197"/>
      <c r="P229" s="197"/>
      <c r="Q229" s="197"/>
      <c r="R229" s="197"/>
      <c r="S229" s="197"/>
      <c r="T229" s="197"/>
      <c r="U229" s="197"/>
      <c r="V229" s="197"/>
      <c r="W229" s="197"/>
      <c r="X229" s="197"/>
      <c r="Y229" s="197"/>
      <c r="Z229" s="197"/>
      <c r="AA229" s="197"/>
      <c r="AB229" s="197"/>
      <c r="AC229" s="197"/>
      <c r="AD229" s="197"/>
      <c r="AE229" s="197"/>
      <c r="AF229" s="197"/>
      <c r="AG229" s="197"/>
      <c r="AH229" s="197"/>
      <c r="AI229" s="197"/>
    </row>
    <row r="230" spans="1:35" ht="15">
      <c r="A230" s="197"/>
      <c r="B230" s="197"/>
      <c r="C230" s="197"/>
      <c r="D230" s="197"/>
      <c r="E230" s="197"/>
      <c r="F230" s="197"/>
      <c r="G230" s="197"/>
      <c r="H230" s="197"/>
      <c r="I230" s="197"/>
      <c r="J230" s="197"/>
      <c r="K230" s="197"/>
      <c r="L230" s="197"/>
      <c r="M230" s="197"/>
      <c r="N230" s="197"/>
      <c r="O230" s="197"/>
      <c r="P230" s="197"/>
      <c r="Q230" s="197"/>
      <c r="R230" s="197"/>
      <c r="S230" s="197"/>
      <c r="T230" s="197"/>
      <c r="U230" s="197"/>
      <c r="V230" s="197"/>
      <c r="W230" s="197"/>
      <c r="X230" s="197"/>
      <c r="Y230" s="197"/>
      <c r="Z230" s="197"/>
      <c r="AA230" s="197"/>
      <c r="AB230" s="197"/>
      <c r="AC230" s="197"/>
      <c r="AD230" s="197"/>
      <c r="AE230" s="197"/>
      <c r="AF230" s="197"/>
      <c r="AG230" s="197"/>
      <c r="AH230" s="197"/>
      <c r="AI230" s="197"/>
    </row>
    <row r="231" spans="1:35" ht="15">
      <c r="A231" s="197"/>
      <c r="B231" s="197"/>
      <c r="C231" s="197"/>
      <c r="D231" s="197"/>
      <c r="E231" s="197"/>
      <c r="F231" s="197"/>
      <c r="G231" s="197"/>
      <c r="H231" s="197"/>
      <c r="I231" s="197"/>
      <c r="J231" s="197"/>
      <c r="K231" s="197"/>
      <c r="L231" s="197"/>
      <c r="M231" s="197"/>
      <c r="N231" s="197"/>
      <c r="O231" s="197"/>
      <c r="P231" s="197"/>
      <c r="Q231" s="197"/>
      <c r="R231" s="197"/>
      <c r="S231" s="197"/>
      <c r="T231" s="197"/>
      <c r="U231" s="197"/>
      <c r="V231" s="197"/>
      <c r="W231" s="197"/>
      <c r="X231" s="197"/>
      <c r="Y231" s="197"/>
      <c r="Z231" s="197"/>
      <c r="AA231" s="197"/>
      <c r="AB231" s="197"/>
      <c r="AC231" s="197"/>
      <c r="AD231" s="197"/>
      <c r="AE231" s="197"/>
      <c r="AF231" s="197"/>
      <c r="AG231" s="197"/>
      <c r="AH231" s="197"/>
      <c r="AI231" s="197"/>
    </row>
    <row r="232" spans="1:35" ht="15">
      <c r="A232" s="197"/>
      <c r="B232" s="197"/>
      <c r="C232" s="197"/>
      <c r="D232" s="197"/>
      <c r="E232" s="197"/>
      <c r="F232" s="197"/>
      <c r="G232" s="197"/>
      <c r="H232" s="197"/>
      <c r="I232" s="197"/>
      <c r="J232" s="197"/>
      <c r="K232" s="197"/>
      <c r="L232" s="197"/>
      <c r="M232" s="197"/>
      <c r="N232" s="197"/>
      <c r="O232" s="197"/>
      <c r="P232" s="197"/>
      <c r="Q232" s="197"/>
      <c r="R232" s="197"/>
      <c r="S232" s="197"/>
      <c r="T232" s="197"/>
      <c r="U232" s="197"/>
      <c r="V232" s="197"/>
      <c r="W232" s="197"/>
      <c r="X232" s="197"/>
      <c r="Y232" s="197"/>
      <c r="Z232" s="197"/>
      <c r="AA232" s="197"/>
      <c r="AB232" s="197"/>
      <c r="AC232" s="197"/>
      <c r="AD232" s="197"/>
      <c r="AE232" s="197"/>
      <c r="AF232" s="197"/>
      <c r="AG232" s="197"/>
      <c r="AH232" s="197"/>
      <c r="AI232" s="197"/>
    </row>
    <row r="233" spans="1:35" ht="15">
      <c r="A233" s="197"/>
      <c r="B233" s="197"/>
      <c r="C233" s="197"/>
      <c r="D233" s="197"/>
      <c r="E233" s="197"/>
      <c r="F233" s="197"/>
      <c r="G233" s="197"/>
      <c r="H233" s="197"/>
      <c r="I233" s="197"/>
      <c r="J233" s="197"/>
      <c r="K233" s="197"/>
      <c r="L233" s="197"/>
      <c r="M233" s="197"/>
      <c r="N233" s="197"/>
      <c r="O233" s="197"/>
      <c r="P233" s="197"/>
      <c r="Q233" s="197"/>
      <c r="R233" s="197"/>
      <c r="S233" s="197"/>
      <c r="T233" s="197"/>
      <c r="U233" s="197"/>
      <c r="V233" s="197"/>
      <c r="W233" s="197"/>
      <c r="X233" s="197"/>
      <c r="Y233" s="197"/>
      <c r="Z233" s="197"/>
      <c r="AA233" s="197"/>
      <c r="AB233" s="197"/>
      <c r="AC233" s="197"/>
      <c r="AD233" s="197"/>
      <c r="AE233" s="197"/>
      <c r="AF233" s="197"/>
      <c r="AG233" s="197"/>
      <c r="AH233" s="197"/>
      <c r="AI233" s="197"/>
    </row>
    <row r="234" spans="1:35" ht="15">
      <c r="A234" s="197"/>
      <c r="B234" s="197"/>
      <c r="C234" s="197"/>
      <c r="D234" s="197"/>
      <c r="E234" s="197"/>
      <c r="F234" s="197"/>
      <c r="G234" s="197"/>
      <c r="H234" s="197"/>
      <c r="I234" s="197"/>
      <c r="J234" s="197"/>
      <c r="K234" s="197"/>
      <c r="L234" s="197"/>
      <c r="M234" s="197"/>
      <c r="N234" s="197"/>
      <c r="O234" s="197"/>
      <c r="P234" s="197"/>
      <c r="Q234" s="197"/>
      <c r="R234" s="197"/>
      <c r="S234" s="197"/>
      <c r="T234" s="197"/>
      <c r="U234" s="197"/>
      <c r="V234" s="197"/>
      <c r="W234" s="197"/>
      <c r="X234" s="197"/>
      <c r="Y234" s="197"/>
      <c r="Z234" s="197"/>
      <c r="AA234" s="197"/>
      <c r="AB234" s="197"/>
      <c r="AC234" s="197"/>
      <c r="AD234" s="197"/>
      <c r="AE234" s="197"/>
      <c r="AF234" s="197"/>
      <c r="AG234" s="197"/>
      <c r="AH234" s="197"/>
      <c r="AI234" s="197"/>
    </row>
    <row r="235" spans="1:35" ht="15">
      <c r="A235" s="197"/>
      <c r="B235" s="197"/>
      <c r="C235" s="197"/>
      <c r="D235" s="197"/>
      <c r="E235" s="197"/>
      <c r="F235" s="197"/>
      <c r="G235" s="197"/>
      <c r="H235" s="197"/>
      <c r="I235" s="197"/>
      <c r="J235" s="197"/>
      <c r="K235" s="197"/>
      <c r="L235" s="197"/>
      <c r="M235" s="197"/>
      <c r="N235" s="197"/>
      <c r="O235" s="197"/>
      <c r="P235" s="197"/>
      <c r="Q235" s="197"/>
      <c r="R235" s="197"/>
      <c r="S235" s="197"/>
      <c r="T235" s="197"/>
      <c r="U235" s="197"/>
      <c r="V235" s="197"/>
      <c r="W235" s="197"/>
      <c r="X235" s="197"/>
      <c r="Y235" s="197"/>
      <c r="Z235" s="197"/>
      <c r="AA235" s="197"/>
      <c r="AB235" s="197"/>
      <c r="AC235" s="197"/>
      <c r="AD235" s="197"/>
      <c r="AE235" s="197"/>
      <c r="AF235" s="197"/>
      <c r="AG235" s="197"/>
      <c r="AH235" s="197"/>
      <c r="AI235" s="197"/>
    </row>
    <row r="236" spans="1:35" ht="15">
      <c r="A236" s="197"/>
      <c r="B236" s="197"/>
      <c r="C236" s="197"/>
      <c r="D236" s="197"/>
      <c r="E236" s="197"/>
      <c r="F236" s="197"/>
      <c r="G236" s="197"/>
      <c r="H236" s="197"/>
      <c r="I236" s="197"/>
      <c r="J236" s="197"/>
      <c r="K236" s="197"/>
      <c r="L236" s="197"/>
      <c r="M236" s="197"/>
      <c r="N236" s="197"/>
      <c r="O236" s="197"/>
      <c r="P236" s="197"/>
      <c r="Q236" s="197"/>
      <c r="R236" s="197"/>
      <c r="S236" s="197"/>
      <c r="T236" s="197"/>
      <c r="U236" s="197"/>
      <c r="V236" s="197"/>
      <c r="W236" s="197"/>
      <c r="X236" s="197"/>
      <c r="Y236" s="197"/>
      <c r="Z236" s="197"/>
      <c r="AA236" s="197"/>
      <c r="AB236" s="197"/>
      <c r="AC236" s="197"/>
      <c r="AD236" s="197"/>
      <c r="AE236" s="197"/>
      <c r="AF236" s="197"/>
      <c r="AG236" s="197"/>
      <c r="AH236" s="197"/>
      <c r="AI236" s="197"/>
    </row>
    <row r="237" spans="1:35" ht="15">
      <c r="A237" s="197"/>
      <c r="B237" s="197"/>
      <c r="C237" s="197"/>
      <c r="D237" s="197"/>
      <c r="E237" s="197"/>
      <c r="F237" s="197"/>
      <c r="G237" s="197"/>
      <c r="H237" s="197"/>
      <c r="I237" s="197"/>
      <c r="J237" s="197"/>
      <c r="K237" s="197"/>
      <c r="L237" s="197"/>
      <c r="M237" s="197"/>
      <c r="N237" s="197"/>
      <c r="O237" s="197"/>
      <c r="P237" s="197"/>
      <c r="Q237" s="197"/>
      <c r="R237" s="197"/>
      <c r="S237" s="197"/>
      <c r="T237" s="197"/>
      <c r="U237" s="197"/>
      <c r="V237" s="197"/>
      <c r="W237" s="197"/>
      <c r="X237" s="197"/>
      <c r="Y237" s="197"/>
      <c r="Z237" s="197"/>
      <c r="AA237" s="197"/>
      <c r="AB237" s="197"/>
      <c r="AC237" s="197"/>
      <c r="AD237" s="197"/>
      <c r="AE237" s="197"/>
      <c r="AF237" s="197"/>
      <c r="AG237" s="197"/>
      <c r="AH237" s="197"/>
      <c r="AI237" s="197"/>
    </row>
    <row r="238" spans="1:35" ht="15">
      <c r="A238" s="197"/>
      <c r="B238" s="197"/>
      <c r="C238" s="197"/>
      <c r="D238" s="197"/>
      <c r="E238" s="197"/>
      <c r="F238" s="197"/>
      <c r="G238" s="197"/>
      <c r="H238" s="197"/>
      <c r="I238" s="197"/>
      <c r="J238" s="197"/>
      <c r="K238" s="197"/>
      <c r="L238" s="197"/>
      <c r="M238" s="197"/>
      <c r="N238" s="197"/>
      <c r="O238" s="197"/>
      <c r="P238" s="197"/>
      <c r="Q238" s="197"/>
      <c r="R238" s="197"/>
      <c r="S238" s="197"/>
      <c r="T238" s="197"/>
      <c r="U238" s="197"/>
      <c r="V238" s="197"/>
      <c r="W238" s="197"/>
      <c r="X238" s="197"/>
      <c r="Y238" s="197"/>
      <c r="Z238" s="197"/>
      <c r="AA238" s="197"/>
      <c r="AB238" s="197"/>
      <c r="AC238" s="197"/>
      <c r="AD238" s="197"/>
      <c r="AE238" s="197"/>
      <c r="AF238" s="197"/>
      <c r="AG238" s="197"/>
      <c r="AH238" s="197"/>
      <c r="AI238" s="197"/>
    </row>
    <row r="239" spans="1:35" ht="15">
      <c r="A239" s="197"/>
      <c r="B239" s="197"/>
      <c r="C239" s="197"/>
      <c r="D239" s="197"/>
      <c r="E239" s="197"/>
      <c r="F239" s="197"/>
      <c r="G239" s="197"/>
      <c r="H239" s="197"/>
      <c r="I239" s="197"/>
      <c r="J239" s="197"/>
      <c r="K239" s="197"/>
      <c r="L239" s="197"/>
      <c r="M239" s="197"/>
      <c r="N239" s="197"/>
      <c r="O239" s="197"/>
      <c r="P239" s="197"/>
      <c r="Q239" s="197"/>
      <c r="R239" s="197"/>
      <c r="S239" s="197"/>
      <c r="T239" s="197"/>
      <c r="U239" s="197"/>
      <c r="V239" s="197"/>
      <c r="W239" s="197"/>
      <c r="X239" s="197"/>
      <c r="Y239" s="197"/>
      <c r="Z239" s="197"/>
      <c r="AA239" s="197"/>
      <c r="AB239" s="197"/>
      <c r="AC239" s="197"/>
      <c r="AD239" s="197"/>
      <c r="AE239" s="197"/>
      <c r="AF239" s="197"/>
      <c r="AG239" s="197"/>
      <c r="AH239" s="197"/>
      <c r="AI239" s="197"/>
    </row>
    <row r="240" spans="1:35" ht="15">
      <c r="A240" s="197"/>
      <c r="B240" s="197"/>
      <c r="C240" s="197"/>
      <c r="D240" s="197"/>
      <c r="E240" s="197"/>
      <c r="F240" s="197"/>
      <c r="G240" s="197"/>
      <c r="H240" s="197"/>
      <c r="I240" s="197"/>
      <c r="J240" s="197"/>
      <c r="K240" s="197"/>
      <c r="L240" s="197"/>
      <c r="M240" s="197"/>
      <c r="N240" s="197"/>
      <c r="O240" s="197"/>
      <c r="P240" s="197"/>
      <c r="Q240" s="197"/>
      <c r="R240" s="197"/>
      <c r="S240" s="197"/>
      <c r="T240" s="197"/>
      <c r="U240" s="197"/>
      <c r="V240" s="197"/>
      <c r="W240" s="197"/>
      <c r="X240" s="197"/>
      <c r="Y240" s="197"/>
      <c r="Z240" s="197"/>
      <c r="AA240" s="197"/>
      <c r="AB240" s="197"/>
      <c r="AC240" s="197"/>
      <c r="AD240" s="197"/>
      <c r="AE240" s="197"/>
      <c r="AF240" s="197"/>
      <c r="AG240" s="197"/>
      <c r="AH240" s="197"/>
      <c r="AI240" s="197"/>
    </row>
    <row r="241" spans="1:35" ht="15">
      <c r="A241" s="197"/>
      <c r="B241" s="197"/>
      <c r="C241" s="197"/>
      <c r="D241" s="197"/>
      <c r="E241" s="197"/>
      <c r="F241" s="197"/>
      <c r="G241" s="197"/>
      <c r="H241" s="197"/>
      <c r="I241" s="197"/>
      <c r="J241" s="197"/>
      <c r="K241" s="197"/>
      <c r="L241" s="197"/>
      <c r="M241" s="197"/>
      <c r="N241" s="197"/>
      <c r="O241" s="197"/>
      <c r="P241" s="197"/>
      <c r="Q241" s="197"/>
      <c r="R241" s="197"/>
      <c r="S241" s="197"/>
      <c r="T241" s="197"/>
      <c r="U241" s="197"/>
      <c r="V241" s="197"/>
      <c r="W241" s="197"/>
      <c r="X241" s="197"/>
      <c r="Y241" s="197"/>
      <c r="Z241" s="197"/>
      <c r="AA241" s="197"/>
      <c r="AB241" s="197"/>
      <c r="AC241" s="197"/>
      <c r="AD241" s="197"/>
      <c r="AE241" s="197"/>
      <c r="AF241" s="197"/>
      <c r="AG241" s="197"/>
      <c r="AH241" s="197"/>
      <c r="AI241" s="197"/>
    </row>
    <row r="242" spans="1:35" ht="15">
      <c r="A242" s="197"/>
      <c r="B242" s="197"/>
      <c r="C242" s="197"/>
      <c r="D242" s="197"/>
      <c r="E242" s="197"/>
      <c r="F242" s="197"/>
      <c r="G242" s="197"/>
      <c r="H242" s="197"/>
      <c r="I242" s="197"/>
      <c r="J242" s="197"/>
      <c r="K242" s="197"/>
      <c r="L242" s="197"/>
      <c r="M242" s="197"/>
      <c r="N242" s="197"/>
      <c r="O242" s="197"/>
      <c r="P242" s="197"/>
      <c r="Q242" s="197"/>
      <c r="R242" s="197"/>
      <c r="S242" s="197"/>
      <c r="T242" s="197"/>
      <c r="U242" s="197"/>
      <c r="V242" s="197"/>
      <c r="W242" s="197"/>
      <c r="X242" s="197"/>
      <c r="Y242" s="197"/>
      <c r="Z242" s="197"/>
      <c r="AA242" s="197"/>
      <c r="AB242" s="197"/>
      <c r="AC242" s="197"/>
      <c r="AD242" s="197"/>
      <c r="AE242" s="197"/>
      <c r="AF242" s="197"/>
      <c r="AG242" s="197"/>
      <c r="AH242" s="197"/>
      <c r="AI242" s="197"/>
    </row>
    <row r="243" spans="1:35" ht="15">
      <c r="A243" s="197"/>
      <c r="B243" s="197"/>
      <c r="C243" s="197"/>
      <c r="D243" s="197"/>
      <c r="E243" s="197"/>
      <c r="F243" s="197"/>
      <c r="G243" s="197"/>
      <c r="H243" s="197"/>
      <c r="I243" s="197"/>
      <c r="J243" s="197"/>
      <c r="K243" s="197"/>
      <c r="L243" s="197"/>
      <c r="M243" s="197"/>
      <c r="N243" s="197"/>
      <c r="O243" s="197"/>
      <c r="P243" s="197"/>
      <c r="Q243" s="197"/>
      <c r="R243" s="197"/>
      <c r="S243" s="197"/>
      <c r="T243" s="197"/>
      <c r="U243" s="197"/>
      <c r="V243" s="197"/>
      <c r="W243" s="197"/>
      <c r="X243" s="197"/>
      <c r="Y243" s="197"/>
      <c r="Z243" s="197"/>
      <c r="AA243" s="197"/>
      <c r="AB243" s="197"/>
      <c r="AC243" s="197"/>
      <c r="AD243" s="197"/>
      <c r="AE243" s="197"/>
      <c r="AF243" s="197"/>
      <c r="AG243" s="197"/>
      <c r="AH243" s="197"/>
      <c r="AI243" s="197"/>
    </row>
    <row r="244" spans="1:35" ht="15">
      <c r="A244" s="197"/>
      <c r="B244" s="197"/>
      <c r="C244" s="197"/>
      <c r="D244" s="197"/>
      <c r="E244" s="197"/>
      <c r="F244" s="197"/>
      <c r="G244" s="197"/>
      <c r="H244" s="197"/>
      <c r="I244" s="197"/>
      <c r="J244" s="197"/>
      <c r="K244" s="197"/>
      <c r="L244" s="197"/>
      <c r="M244" s="197"/>
      <c r="N244" s="197"/>
      <c r="O244" s="197"/>
      <c r="P244" s="197"/>
      <c r="Q244" s="197"/>
      <c r="R244" s="197"/>
      <c r="S244" s="197"/>
      <c r="T244" s="197"/>
      <c r="U244" s="197"/>
      <c r="V244" s="197"/>
      <c r="W244" s="197"/>
      <c r="X244" s="197"/>
      <c r="Y244" s="197"/>
      <c r="Z244" s="197"/>
      <c r="AA244" s="197"/>
      <c r="AB244" s="197"/>
      <c r="AC244" s="197"/>
      <c r="AD244" s="197"/>
      <c r="AE244" s="197"/>
      <c r="AF244" s="197"/>
      <c r="AG244" s="197"/>
      <c r="AH244" s="197"/>
      <c r="AI244" s="197"/>
    </row>
    <row r="245" spans="1:35" ht="15">
      <c r="A245" s="197"/>
      <c r="B245" s="197"/>
      <c r="C245" s="197"/>
      <c r="D245" s="197"/>
      <c r="E245" s="197"/>
      <c r="F245" s="197"/>
      <c r="G245" s="197"/>
      <c r="H245" s="197"/>
      <c r="I245" s="197"/>
      <c r="J245" s="197"/>
      <c r="K245" s="197"/>
      <c r="L245" s="197"/>
      <c r="M245" s="197"/>
      <c r="N245" s="197"/>
      <c r="O245" s="197"/>
      <c r="P245" s="197"/>
      <c r="Q245" s="197"/>
      <c r="R245" s="197"/>
      <c r="S245" s="197"/>
      <c r="T245" s="197"/>
      <c r="U245" s="197"/>
      <c r="V245" s="197"/>
      <c r="W245" s="197"/>
      <c r="X245" s="197"/>
      <c r="Y245" s="197"/>
      <c r="Z245" s="197"/>
      <c r="AA245" s="197"/>
      <c r="AB245" s="197"/>
      <c r="AC245" s="197"/>
      <c r="AD245" s="197"/>
      <c r="AE245" s="197"/>
      <c r="AF245" s="197"/>
      <c r="AG245" s="197"/>
      <c r="AH245" s="197"/>
      <c r="AI245" s="197"/>
    </row>
    <row r="246" spans="1:35" ht="15">
      <c r="A246" s="197"/>
      <c r="B246" s="197"/>
      <c r="C246" s="197"/>
      <c r="D246" s="197"/>
      <c r="E246" s="197"/>
      <c r="F246" s="197"/>
      <c r="G246" s="197"/>
      <c r="H246" s="197"/>
      <c r="I246" s="197"/>
      <c r="J246" s="197"/>
      <c r="K246" s="197"/>
      <c r="L246" s="197"/>
      <c r="M246" s="197"/>
      <c r="N246" s="197"/>
      <c r="O246" s="197"/>
      <c r="P246" s="197"/>
      <c r="Q246" s="197"/>
      <c r="R246" s="197"/>
      <c r="S246" s="197"/>
      <c r="T246" s="197"/>
      <c r="U246" s="197"/>
      <c r="V246" s="197"/>
      <c r="W246" s="197"/>
      <c r="X246" s="197"/>
      <c r="Y246" s="197"/>
      <c r="Z246" s="197"/>
      <c r="AA246" s="197"/>
      <c r="AB246" s="197"/>
      <c r="AC246" s="197"/>
      <c r="AD246" s="197"/>
      <c r="AE246" s="197"/>
      <c r="AF246" s="197"/>
      <c r="AG246" s="197"/>
      <c r="AH246" s="197"/>
      <c r="AI246" s="197"/>
    </row>
    <row r="247" spans="1:35" ht="15">
      <c r="A247" s="197"/>
      <c r="B247" s="197"/>
      <c r="C247" s="197"/>
      <c r="D247" s="197"/>
      <c r="E247" s="197"/>
      <c r="F247" s="197"/>
      <c r="G247" s="197"/>
      <c r="H247" s="197"/>
      <c r="I247" s="197"/>
      <c r="J247" s="197"/>
      <c r="K247" s="197"/>
      <c r="L247" s="197"/>
      <c r="M247" s="197"/>
      <c r="N247" s="197"/>
      <c r="O247" s="197"/>
      <c r="P247" s="197"/>
      <c r="Q247" s="197"/>
      <c r="R247" s="197"/>
      <c r="S247" s="197"/>
      <c r="T247" s="197"/>
      <c r="U247" s="197"/>
      <c r="V247" s="197"/>
      <c r="W247" s="197"/>
      <c r="X247" s="197"/>
      <c r="Y247" s="197"/>
      <c r="Z247" s="197"/>
      <c r="AA247" s="197"/>
      <c r="AB247" s="197"/>
      <c r="AC247" s="197"/>
      <c r="AD247" s="197"/>
      <c r="AE247" s="197"/>
      <c r="AF247" s="197"/>
      <c r="AG247" s="197"/>
      <c r="AH247" s="197"/>
      <c r="AI247" s="197"/>
    </row>
    <row r="248" spans="1:35" ht="15">
      <c r="A248" s="197"/>
      <c r="B248" s="197"/>
      <c r="C248" s="197"/>
      <c r="D248" s="197"/>
      <c r="E248" s="197"/>
      <c r="F248" s="197"/>
      <c r="G248" s="197"/>
      <c r="H248" s="197"/>
      <c r="I248" s="197"/>
      <c r="J248" s="197"/>
      <c r="K248" s="197"/>
      <c r="L248" s="197"/>
      <c r="M248" s="197"/>
      <c r="N248" s="197"/>
      <c r="O248" s="197"/>
      <c r="P248" s="197"/>
      <c r="Q248" s="197"/>
      <c r="R248" s="197"/>
      <c r="S248" s="197"/>
      <c r="T248" s="197"/>
      <c r="U248" s="197"/>
      <c r="V248" s="197"/>
      <c r="W248" s="197"/>
      <c r="X248" s="197"/>
      <c r="Y248" s="197"/>
      <c r="Z248" s="197"/>
      <c r="AA248" s="197"/>
      <c r="AB248" s="197"/>
      <c r="AC248" s="197"/>
      <c r="AD248" s="197"/>
      <c r="AE248" s="197"/>
      <c r="AF248" s="197"/>
      <c r="AG248" s="197"/>
      <c r="AH248" s="197"/>
      <c r="AI248" s="197"/>
    </row>
    <row r="249" spans="1:35" ht="15">
      <c r="A249" s="197"/>
      <c r="B249" s="197"/>
      <c r="C249" s="197"/>
      <c r="D249" s="197"/>
      <c r="E249" s="197"/>
      <c r="F249" s="197"/>
      <c r="G249" s="197"/>
      <c r="H249" s="197"/>
      <c r="I249" s="197"/>
      <c r="J249" s="197"/>
      <c r="K249" s="197"/>
      <c r="L249" s="197"/>
      <c r="M249" s="197"/>
      <c r="N249" s="197"/>
      <c r="O249" s="197"/>
      <c r="P249" s="197"/>
      <c r="Q249" s="197"/>
      <c r="R249" s="197"/>
      <c r="S249" s="197"/>
      <c r="T249" s="197"/>
      <c r="U249" s="197"/>
      <c r="V249" s="197"/>
      <c r="W249" s="197"/>
      <c r="X249" s="197"/>
      <c r="Y249" s="197"/>
      <c r="Z249" s="197"/>
      <c r="AA249" s="197"/>
      <c r="AB249" s="197"/>
      <c r="AC249" s="197"/>
      <c r="AD249" s="197"/>
      <c r="AE249" s="197"/>
      <c r="AF249" s="197"/>
      <c r="AG249" s="197"/>
      <c r="AH249" s="197"/>
      <c r="AI249" s="197"/>
    </row>
    <row r="250" spans="1:35" ht="15">
      <c r="A250" s="197"/>
      <c r="B250" s="197"/>
      <c r="C250" s="197"/>
      <c r="D250" s="197"/>
      <c r="E250" s="197"/>
      <c r="F250" s="197"/>
      <c r="G250" s="197"/>
      <c r="H250" s="197"/>
      <c r="I250" s="197"/>
      <c r="J250" s="197"/>
      <c r="K250" s="197"/>
      <c r="L250" s="197"/>
      <c r="M250" s="197"/>
      <c r="N250" s="197"/>
      <c r="O250" s="197"/>
      <c r="P250" s="197"/>
      <c r="Q250" s="197"/>
      <c r="R250" s="197"/>
      <c r="S250" s="197"/>
      <c r="T250" s="197"/>
      <c r="U250" s="197"/>
      <c r="V250" s="197"/>
      <c r="W250" s="197"/>
      <c r="X250" s="197"/>
      <c r="Y250" s="197"/>
      <c r="Z250" s="197"/>
      <c r="AA250" s="197"/>
      <c r="AB250" s="197"/>
      <c r="AC250" s="197"/>
      <c r="AD250" s="197"/>
      <c r="AE250" s="197"/>
      <c r="AF250" s="197"/>
      <c r="AG250" s="197"/>
      <c r="AH250" s="197"/>
      <c r="AI250" s="197"/>
    </row>
    <row r="251" spans="1:35" ht="15">
      <c r="A251" s="197"/>
      <c r="B251" s="197"/>
      <c r="C251" s="197"/>
      <c r="D251" s="197"/>
      <c r="E251" s="197"/>
      <c r="F251" s="197"/>
      <c r="G251" s="197"/>
      <c r="H251" s="197"/>
      <c r="I251" s="197"/>
      <c r="J251" s="197"/>
      <c r="K251" s="197"/>
      <c r="L251" s="197"/>
      <c r="M251" s="197"/>
      <c r="N251" s="197"/>
      <c r="O251" s="197"/>
      <c r="P251" s="197"/>
      <c r="Q251" s="197"/>
      <c r="R251" s="197"/>
      <c r="S251" s="197"/>
      <c r="T251" s="197"/>
      <c r="U251" s="197"/>
      <c r="V251" s="197"/>
      <c r="W251" s="197"/>
      <c r="X251" s="197"/>
      <c r="Y251" s="197"/>
      <c r="Z251" s="197"/>
      <c r="AA251" s="197"/>
      <c r="AB251" s="197"/>
      <c r="AC251" s="197"/>
      <c r="AD251" s="197"/>
      <c r="AE251" s="197"/>
      <c r="AF251" s="197"/>
      <c r="AG251" s="197"/>
      <c r="AH251" s="197"/>
      <c r="AI251" s="197"/>
    </row>
    <row r="252" spans="1:35" ht="15">
      <c r="A252" s="197"/>
      <c r="B252" s="197"/>
      <c r="C252" s="197"/>
      <c r="D252" s="197"/>
      <c r="E252" s="197"/>
      <c r="F252" s="197"/>
      <c r="G252" s="197"/>
      <c r="H252" s="197"/>
      <c r="I252" s="197"/>
      <c r="J252" s="197"/>
      <c r="K252" s="197"/>
      <c r="L252" s="197"/>
      <c r="M252" s="197"/>
      <c r="N252" s="197"/>
      <c r="O252" s="197"/>
      <c r="P252" s="197"/>
      <c r="Q252" s="197"/>
      <c r="R252" s="197"/>
      <c r="S252" s="197"/>
      <c r="T252" s="197"/>
      <c r="U252" s="197"/>
      <c r="V252" s="197"/>
      <c r="W252" s="197"/>
      <c r="X252" s="197"/>
      <c r="Y252" s="197"/>
      <c r="Z252" s="197"/>
      <c r="AA252" s="197"/>
      <c r="AB252" s="197"/>
      <c r="AC252" s="197"/>
      <c r="AD252" s="197"/>
      <c r="AE252" s="197"/>
      <c r="AF252" s="197"/>
      <c r="AG252" s="197"/>
      <c r="AH252" s="197"/>
      <c r="AI252" s="197"/>
    </row>
    <row r="253" spans="1:35" ht="15">
      <c r="A253" s="197"/>
      <c r="B253" s="197"/>
      <c r="C253" s="197"/>
      <c r="D253" s="197"/>
      <c r="E253" s="197"/>
      <c r="F253" s="197"/>
      <c r="G253" s="197"/>
      <c r="H253" s="197"/>
      <c r="I253" s="197"/>
      <c r="J253" s="197"/>
      <c r="K253" s="197"/>
      <c r="L253" s="197"/>
      <c r="M253" s="197"/>
      <c r="N253" s="197"/>
      <c r="O253" s="197"/>
      <c r="P253" s="197"/>
      <c r="Q253" s="197"/>
      <c r="R253" s="197"/>
      <c r="S253" s="197"/>
      <c r="T253" s="197"/>
      <c r="U253" s="197"/>
      <c r="V253" s="197"/>
      <c r="W253" s="197"/>
      <c r="X253" s="197"/>
      <c r="Y253" s="197"/>
      <c r="Z253" s="197"/>
      <c r="AA253" s="197"/>
      <c r="AB253" s="197"/>
      <c r="AC253" s="197"/>
      <c r="AD253" s="197"/>
      <c r="AE253" s="197"/>
      <c r="AF253" s="197"/>
      <c r="AG253" s="197"/>
      <c r="AH253" s="197"/>
      <c r="AI253" s="197"/>
    </row>
    <row r="254" spans="1:35" ht="15">
      <c r="A254" s="197"/>
      <c r="B254" s="197"/>
      <c r="C254" s="197"/>
      <c r="D254" s="197"/>
      <c r="E254" s="197"/>
      <c r="F254" s="197"/>
      <c r="G254" s="197"/>
      <c r="H254" s="197"/>
      <c r="I254" s="197"/>
      <c r="J254" s="197"/>
      <c r="K254" s="197"/>
      <c r="L254" s="197"/>
      <c r="M254" s="197"/>
      <c r="N254" s="197"/>
      <c r="O254" s="197"/>
      <c r="P254" s="197"/>
      <c r="Q254" s="197"/>
      <c r="R254" s="197"/>
      <c r="S254" s="197"/>
      <c r="T254" s="197"/>
      <c r="U254" s="197"/>
      <c r="V254" s="197"/>
      <c r="W254" s="197"/>
      <c r="X254" s="197"/>
      <c r="Y254" s="197"/>
      <c r="Z254" s="197"/>
      <c r="AA254" s="197"/>
      <c r="AB254" s="197"/>
      <c r="AC254" s="197"/>
      <c r="AD254" s="197"/>
      <c r="AE254" s="197"/>
      <c r="AF254" s="197"/>
      <c r="AG254" s="197"/>
      <c r="AH254" s="197"/>
      <c r="AI254" s="197"/>
    </row>
    <row r="255" spans="1:35" ht="15">
      <c r="A255" s="197"/>
      <c r="B255" s="197"/>
      <c r="C255" s="197"/>
      <c r="D255" s="197"/>
      <c r="E255" s="197"/>
      <c r="F255" s="197"/>
      <c r="G255" s="197"/>
      <c r="H255" s="197"/>
      <c r="I255" s="197"/>
      <c r="J255" s="197"/>
      <c r="K255" s="197"/>
      <c r="L255" s="197"/>
      <c r="M255" s="197"/>
      <c r="N255" s="197"/>
      <c r="O255" s="197"/>
      <c r="P255" s="197"/>
      <c r="Q255" s="197"/>
      <c r="R255" s="197"/>
      <c r="S255" s="197"/>
      <c r="T255" s="197"/>
      <c r="U255" s="197"/>
      <c r="V255" s="197"/>
      <c r="W255" s="197"/>
      <c r="X255" s="197"/>
      <c r="Y255" s="197"/>
      <c r="Z255" s="197"/>
      <c r="AA255" s="197"/>
      <c r="AB255" s="197"/>
      <c r="AC255" s="197"/>
      <c r="AD255" s="197"/>
      <c r="AE255" s="197"/>
      <c r="AF255" s="197"/>
      <c r="AG255" s="197"/>
      <c r="AH255" s="197"/>
      <c r="AI255" s="197"/>
    </row>
    <row r="256" spans="1:35" ht="15">
      <c r="A256" s="197"/>
      <c r="B256" s="197"/>
      <c r="C256" s="197"/>
      <c r="D256" s="197"/>
      <c r="E256" s="197"/>
      <c r="F256" s="197"/>
      <c r="G256" s="197"/>
      <c r="H256" s="197"/>
      <c r="I256" s="197"/>
      <c r="J256" s="197"/>
      <c r="K256" s="197"/>
      <c r="L256" s="197"/>
      <c r="M256" s="197"/>
      <c r="N256" s="197"/>
      <c r="O256" s="197"/>
      <c r="P256" s="197"/>
      <c r="Q256" s="197"/>
      <c r="R256" s="197"/>
      <c r="S256" s="197"/>
      <c r="T256" s="197"/>
      <c r="U256" s="197"/>
      <c r="V256" s="197"/>
      <c r="W256" s="197"/>
      <c r="X256" s="197"/>
      <c r="Y256" s="197"/>
      <c r="Z256" s="197"/>
      <c r="AA256" s="197"/>
      <c r="AB256" s="197"/>
      <c r="AC256" s="197"/>
      <c r="AD256" s="197"/>
      <c r="AE256" s="197"/>
      <c r="AF256" s="197"/>
      <c r="AG256" s="197"/>
      <c r="AH256" s="197"/>
      <c r="AI256" s="197"/>
    </row>
    <row r="257" spans="1:35" ht="15">
      <c r="A257" s="197"/>
      <c r="B257" s="197"/>
      <c r="C257" s="197"/>
      <c r="D257" s="197"/>
      <c r="E257" s="197"/>
      <c r="F257" s="197"/>
      <c r="G257" s="197"/>
      <c r="H257" s="197"/>
      <c r="I257" s="197"/>
      <c r="J257" s="197"/>
      <c r="K257" s="197"/>
      <c r="L257" s="197"/>
      <c r="M257" s="197"/>
      <c r="N257" s="197"/>
      <c r="O257" s="197"/>
      <c r="P257" s="197"/>
      <c r="Q257" s="197"/>
      <c r="R257" s="197"/>
      <c r="S257" s="197"/>
      <c r="T257" s="197"/>
      <c r="U257" s="197"/>
      <c r="V257" s="197"/>
      <c r="W257" s="197"/>
      <c r="X257" s="197"/>
      <c r="Y257" s="197"/>
      <c r="Z257" s="197"/>
      <c r="AA257" s="197"/>
      <c r="AB257" s="197"/>
      <c r="AC257" s="197"/>
      <c r="AD257" s="197"/>
      <c r="AE257" s="197"/>
      <c r="AF257" s="197"/>
      <c r="AG257" s="197"/>
      <c r="AH257" s="197"/>
      <c r="AI257" s="197"/>
    </row>
    <row r="258" spans="1:35" ht="15">
      <c r="A258" s="197"/>
      <c r="B258" s="197"/>
      <c r="C258" s="197"/>
      <c r="D258" s="197"/>
      <c r="E258" s="197"/>
      <c r="F258" s="197"/>
      <c r="G258" s="197"/>
      <c r="H258" s="197"/>
      <c r="I258" s="197"/>
      <c r="J258" s="197"/>
      <c r="K258" s="197"/>
      <c r="L258" s="197"/>
      <c r="M258" s="197"/>
      <c r="N258" s="197"/>
      <c r="O258" s="197"/>
      <c r="P258" s="197"/>
      <c r="Q258" s="197"/>
      <c r="R258" s="197"/>
      <c r="S258" s="197"/>
      <c r="T258" s="197"/>
      <c r="U258" s="197"/>
      <c r="V258" s="197"/>
      <c r="W258" s="197"/>
      <c r="X258" s="197"/>
      <c r="Y258" s="197"/>
      <c r="Z258" s="197"/>
      <c r="AA258" s="197"/>
      <c r="AB258" s="197"/>
      <c r="AC258" s="197"/>
      <c r="AD258" s="197"/>
      <c r="AE258" s="197"/>
      <c r="AF258" s="197"/>
      <c r="AG258" s="197"/>
      <c r="AH258" s="197"/>
      <c r="AI258" s="197"/>
    </row>
    <row r="259" spans="1:35" ht="15">
      <c r="A259" s="197"/>
      <c r="B259" s="197"/>
      <c r="C259" s="197"/>
      <c r="D259" s="197"/>
      <c r="E259" s="197"/>
      <c r="F259" s="197"/>
      <c r="G259" s="197"/>
      <c r="H259" s="197"/>
      <c r="I259" s="197"/>
      <c r="J259" s="197"/>
      <c r="K259" s="197"/>
      <c r="L259" s="197"/>
      <c r="M259" s="197"/>
      <c r="N259" s="197"/>
      <c r="O259" s="197"/>
      <c r="P259" s="197"/>
      <c r="Q259" s="197"/>
      <c r="R259" s="197"/>
      <c r="S259" s="197"/>
      <c r="T259" s="197"/>
      <c r="U259" s="197"/>
      <c r="V259" s="197"/>
      <c r="W259" s="197"/>
      <c r="X259" s="197"/>
      <c r="Y259" s="197"/>
      <c r="Z259" s="197"/>
      <c r="AA259" s="197"/>
      <c r="AB259" s="197"/>
      <c r="AC259" s="197"/>
      <c r="AD259" s="197"/>
      <c r="AE259" s="197"/>
      <c r="AF259" s="197"/>
      <c r="AG259" s="197"/>
      <c r="AH259" s="197"/>
      <c r="AI259" s="197"/>
    </row>
    <row r="260" spans="1:35" ht="15">
      <c r="A260" s="197"/>
      <c r="B260" s="197"/>
      <c r="C260" s="197"/>
      <c r="D260" s="197"/>
      <c r="E260" s="197"/>
      <c r="F260" s="197"/>
      <c r="G260" s="197"/>
      <c r="H260" s="197"/>
      <c r="I260" s="197"/>
      <c r="J260" s="197"/>
      <c r="K260" s="197"/>
      <c r="L260" s="197"/>
      <c r="M260" s="197"/>
      <c r="N260" s="197"/>
      <c r="O260" s="197"/>
      <c r="P260" s="197"/>
      <c r="Q260" s="197"/>
      <c r="R260" s="197"/>
      <c r="S260" s="197"/>
      <c r="T260" s="197"/>
      <c r="U260" s="197"/>
      <c r="V260" s="197"/>
      <c r="W260" s="197"/>
      <c r="X260" s="197"/>
      <c r="Y260" s="197"/>
      <c r="Z260" s="197"/>
      <c r="AA260" s="197"/>
      <c r="AB260" s="197"/>
      <c r="AC260" s="197"/>
      <c r="AD260" s="197"/>
      <c r="AE260" s="197"/>
      <c r="AF260" s="197"/>
      <c r="AG260" s="197"/>
      <c r="AH260" s="197"/>
      <c r="AI260" s="197"/>
    </row>
    <row r="261" spans="1:35" ht="15">
      <c r="A261" s="197"/>
      <c r="B261" s="197"/>
      <c r="C261" s="197"/>
      <c r="D261" s="197"/>
      <c r="E261" s="197"/>
      <c r="F261" s="197"/>
      <c r="G261" s="197"/>
      <c r="H261" s="197"/>
      <c r="I261" s="197"/>
      <c r="J261" s="197"/>
      <c r="K261" s="197"/>
      <c r="L261" s="197"/>
      <c r="M261" s="197"/>
      <c r="N261" s="197"/>
      <c r="O261" s="197"/>
      <c r="P261" s="197"/>
      <c r="Q261" s="197"/>
      <c r="R261" s="197"/>
      <c r="S261" s="197"/>
      <c r="T261" s="197"/>
      <c r="U261" s="197"/>
      <c r="V261" s="197"/>
      <c r="W261" s="197"/>
      <c r="X261" s="197"/>
      <c r="Y261" s="197"/>
      <c r="Z261" s="197"/>
      <c r="AA261" s="197"/>
      <c r="AB261" s="197"/>
      <c r="AC261" s="197"/>
      <c r="AD261" s="197"/>
      <c r="AE261" s="197"/>
      <c r="AF261" s="197"/>
      <c r="AG261" s="197"/>
      <c r="AH261" s="197"/>
      <c r="AI261" s="197"/>
    </row>
    <row r="262" spans="1:35" ht="15">
      <c r="A262" s="197"/>
      <c r="B262" s="197"/>
      <c r="C262" s="197"/>
      <c r="D262" s="197"/>
      <c r="E262" s="197"/>
      <c r="F262" s="197"/>
      <c r="G262" s="197"/>
      <c r="H262" s="197"/>
      <c r="I262" s="197"/>
      <c r="J262" s="197"/>
      <c r="K262" s="197"/>
      <c r="L262" s="197"/>
      <c r="M262" s="197"/>
      <c r="N262" s="197"/>
      <c r="O262" s="197"/>
      <c r="P262" s="197"/>
      <c r="Q262" s="197"/>
      <c r="R262" s="197"/>
      <c r="S262" s="197"/>
      <c r="T262" s="197"/>
      <c r="U262" s="197"/>
      <c r="V262" s="197"/>
      <c r="W262" s="197"/>
      <c r="X262" s="197"/>
      <c r="Y262" s="197"/>
      <c r="Z262" s="197"/>
      <c r="AA262" s="197"/>
      <c r="AB262" s="197"/>
      <c r="AC262" s="197"/>
      <c r="AD262" s="197"/>
      <c r="AE262" s="197"/>
      <c r="AF262" s="197"/>
      <c r="AG262" s="197"/>
      <c r="AH262" s="197"/>
      <c r="AI262" s="197"/>
    </row>
    <row r="263" spans="1:35" ht="15">
      <c r="A263" s="197"/>
      <c r="B263" s="197"/>
      <c r="C263" s="197"/>
      <c r="D263" s="197"/>
      <c r="E263" s="197"/>
      <c r="F263" s="197"/>
      <c r="G263" s="197"/>
      <c r="H263" s="197"/>
      <c r="I263" s="197"/>
      <c r="J263" s="197"/>
      <c r="K263" s="197"/>
      <c r="L263" s="197"/>
      <c r="M263" s="197"/>
      <c r="N263" s="197"/>
      <c r="O263" s="197"/>
      <c r="P263" s="197"/>
      <c r="Q263" s="197"/>
      <c r="R263" s="197"/>
      <c r="S263" s="197"/>
      <c r="T263" s="197"/>
      <c r="U263" s="197"/>
      <c r="V263" s="197"/>
      <c r="W263" s="197"/>
      <c r="X263" s="197"/>
      <c r="Y263" s="197"/>
      <c r="Z263" s="197"/>
      <c r="AA263" s="197"/>
      <c r="AB263" s="197"/>
      <c r="AC263" s="197"/>
      <c r="AD263" s="197"/>
      <c r="AE263" s="197"/>
      <c r="AF263" s="197"/>
      <c r="AG263" s="197"/>
      <c r="AH263" s="197"/>
      <c r="AI263" s="197"/>
    </row>
    <row r="264" spans="1:35" ht="15">
      <c r="A264" s="197"/>
      <c r="B264" s="197"/>
      <c r="C264" s="197"/>
      <c r="D264" s="197"/>
      <c r="E264" s="197"/>
      <c r="F264" s="197"/>
      <c r="G264" s="197"/>
      <c r="H264" s="197"/>
      <c r="I264" s="197"/>
      <c r="J264" s="197"/>
      <c r="K264" s="197"/>
      <c r="L264" s="197"/>
      <c r="M264" s="197"/>
      <c r="N264" s="197"/>
      <c r="O264" s="197"/>
      <c r="P264" s="197"/>
      <c r="Q264" s="197"/>
      <c r="R264" s="197"/>
      <c r="S264" s="197"/>
      <c r="T264" s="197"/>
      <c r="U264" s="197"/>
      <c r="V264" s="197"/>
      <c r="W264" s="197"/>
      <c r="X264" s="197"/>
      <c r="Y264" s="197"/>
      <c r="Z264" s="197"/>
      <c r="AA264" s="197"/>
      <c r="AB264" s="197"/>
      <c r="AC264" s="197"/>
      <c r="AD264" s="197"/>
      <c r="AE264" s="197"/>
      <c r="AF264" s="197"/>
      <c r="AG264" s="197"/>
      <c r="AH264" s="197"/>
      <c r="AI264" s="197"/>
    </row>
    <row r="265" spans="1:35" ht="15">
      <c r="A265" s="197"/>
      <c r="B265" s="197"/>
      <c r="C265" s="197"/>
      <c r="D265" s="197"/>
      <c r="E265" s="197"/>
      <c r="F265" s="197"/>
      <c r="G265" s="197"/>
      <c r="H265" s="197"/>
      <c r="I265" s="197"/>
      <c r="J265" s="197"/>
      <c r="K265" s="197"/>
      <c r="L265" s="197"/>
      <c r="M265" s="197"/>
      <c r="N265" s="197"/>
      <c r="O265" s="197"/>
      <c r="P265" s="197"/>
      <c r="Q265" s="197"/>
      <c r="R265" s="197"/>
      <c r="S265" s="197"/>
      <c r="T265" s="197"/>
      <c r="U265" s="197"/>
      <c r="V265" s="197"/>
      <c r="W265" s="197"/>
      <c r="X265" s="197"/>
      <c r="Y265" s="197"/>
      <c r="Z265" s="197"/>
      <c r="AA265" s="197"/>
      <c r="AB265" s="197"/>
      <c r="AC265" s="197"/>
      <c r="AD265" s="197"/>
      <c r="AE265" s="197"/>
      <c r="AF265" s="197"/>
      <c r="AG265" s="197"/>
      <c r="AH265" s="197"/>
      <c r="AI265" s="197"/>
    </row>
    <row r="266" spans="1:35" ht="15">
      <c r="A266" s="197"/>
      <c r="B266" s="197"/>
      <c r="C266" s="197"/>
      <c r="D266" s="197"/>
      <c r="E266" s="197"/>
      <c r="F266" s="197"/>
      <c r="G266" s="197"/>
      <c r="H266" s="197"/>
      <c r="I266" s="197"/>
      <c r="J266" s="197"/>
      <c r="K266" s="197"/>
      <c r="L266" s="197"/>
      <c r="M266" s="197"/>
      <c r="N266" s="197"/>
      <c r="O266" s="197"/>
      <c r="P266" s="197"/>
      <c r="Q266" s="197"/>
      <c r="R266" s="197"/>
      <c r="S266" s="197"/>
      <c r="T266" s="197"/>
      <c r="U266" s="197"/>
      <c r="V266" s="197"/>
      <c r="W266" s="197"/>
      <c r="X266" s="197"/>
      <c r="Y266" s="197"/>
      <c r="Z266" s="197"/>
      <c r="AA266" s="197"/>
      <c r="AB266" s="197"/>
      <c r="AC266" s="197"/>
      <c r="AD266" s="197"/>
      <c r="AE266" s="197"/>
      <c r="AF266" s="197"/>
      <c r="AG266" s="197"/>
      <c r="AH266" s="197"/>
      <c r="AI266" s="197"/>
    </row>
    <row r="267" spans="1:35" ht="15">
      <c r="A267" s="197"/>
      <c r="B267" s="197"/>
      <c r="C267" s="197"/>
      <c r="D267" s="197"/>
      <c r="E267" s="197"/>
      <c r="F267" s="197"/>
      <c r="G267" s="197"/>
      <c r="H267" s="197"/>
      <c r="I267" s="197"/>
      <c r="J267" s="197"/>
      <c r="K267" s="197"/>
      <c r="L267" s="197"/>
      <c r="M267" s="197"/>
      <c r="N267" s="197"/>
      <c r="O267" s="197"/>
      <c r="P267" s="197"/>
      <c r="Q267" s="197"/>
      <c r="R267" s="197"/>
      <c r="S267" s="197"/>
      <c r="T267" s="197"/>
      <c r="U267" s="197"/>
      <c r="V267" s="197"/>
      <c r="W267" s="197"/>
      <c r="X267" s="197"/>
      <c r="Y267" s="197"/>
      <c r="Z267" s="197"/>
      <c r="AA267" s="197"/>
      <c r="AB267" s="197"/>
      <c r="AC267" s="197"/>
      <c r="AD267" s="197"/>
      <c r="AE267" s="197"/>
      <c r="AF267" s="197"/>
      <c r="AG267" s="197"/>
      <c r="AH267" s="197"/>
      <c r="AI267" s="197"/>
    </row>
    <row r="268" spans="1:35" ht="15">
      <c r="A268" s="197"/>
      <c r="B268" s="197"/>
      <c r="C268" s="197"/>
      <c r="D268" s="197"/>
      <c r="E268" s="197"/>
      <c r="F268" s="197"/>
      <c r="G268" s="197"/>
      <c r="H268" s="197"/>
      <c r="I268" s="197"/>
      <c r="J268" s="197"/>
      <c r="K268" s="197"/>
      <c r="L268" s="197"/>
      <c r="M268" s="197"/>
      <c r="N268" s="197"/>
      <c r="O268" s="197"/>
      <c r="P268" s="197"/>
      <c r="Q268" s="197"/>
      <c r="R268" s="197"/>
      <c r="S268" s="197"/>
      <c r="T268" s="197"/>
      <c r="U268" s="197"/>
      <c r="V268" s="197"/>
      <c r="W268" s="197"/>
      <c r="X268" s="197"/>
      <c r="Y268" s="197"/>
      <c r="Z268" s="197"/>
      <c r="AA268" s="197"/>
      <c r="AB268" s="197"/>
      <c r="AC268" s="197"/>
      <c r="AD268" s="197"/>
      <c r="AE268" s="197"/>
      <c r="AF268" s="197"/>
      <c r="AG268" s="197"/>
      <c r="AH268" s="197"/>
      <c r="AI268" s="197"/>
    </row>
    <row r="269" spans="1:35" ht="15">
      <c r="A269" s="197"/>
      <c r="B269" s="197"/>
      <c r="C269" s="197"/>
      <c r="D269" s="197"/>
      <c r="E269" s="197"/>
      <c r="F269" s="197"/>
      <c r="G269" s="197"/>
      <c r="H269" s="197"/>
      <c r="I269" s="197"/>
      <c r="J269" s="197"/>
      <c r="K269" s="197"/>
      <c r="L269" s="197"/>
      <c r="M269" s="197"/>
      <c r="N269" s="197"/>
      <c r="O269" s="197"/>
      <c r="P269" s="197"/>
      <c r="Q269" s="197"/>
      <c r="R269" s="197"/>
      <c r="S269" s="197"/>
      <c r="T269" s="197"/>
      <c r="U269" s="197"/>
      <c r="V269" s="197"/>
      <c r="W269" s="197"/>
      <c r="X269" s="197"/>
      <c r="Y269" s="197"/>
      <c r="Z269" s="197"/>
      <c r="AA269" s="197"/>
      <c r="AB269" s="197"/>
      <c r="AC269" s="197"/>
      <c r="AD269" s="197"/>
      <c r="AE269" s="197"/>
      <c r="AF269" s="197"/>
      <c r="AG269" s="197"/>
      <c r="AH269" s="197"/>
      <c r="AI269" s="197"/>
    </row>
    <row r="270" spans="1:35" ht="15">
      <c r="A270" s="197"/>
      <c r="B270" s="197"/>
      <c r="C270" s="197"/>
      <c r="D270" s="197"/>
      <c r="E270" s="197"/>
      <c r="F270" s="197"/>
      <c r="G270" s="197"/>
      <c r="H270" s="197"/>
      <c r="I270" s="197"/>
      <c r="J270" s="197"/>
      <c r="K270" s="197"/>
      <c r="L270" s="197"/>
      <c r="M270" s="197"/>
      <c r="N270" s="197"/>
      <c r="O270" s="197"/>
      <c r="P270" s="197"/>
      <c r="Q270" s="197"/>
      <c r="R270" s="197"/>
      <c r="S270" s="197"/>
      <c r="T270" s="197"/>
      <c r="U270" s="197"/>
      <c r="V270" s="197"/>
      <c r="W270" s="197"/>
      <c r="X270" s="197"/>
      <c r="Y270" s="197"/>
      <c r="Z270" s="197"/>
      <c r="AA270" s="197"/>
      <c r="AB270" s="197"/>
      <c r="AC270" s="197"/>
      <c r="AD270" s="197"/>
      <c r="AE270" s="197"/>
      <c r="AF270" s="197"/>
      <c r="AG270" s="197"/>
      <c r="AH270" s="197"/>
      <c r="AI270" s="197"/>
    </row>
    <row r="271" spans="1:35" ht="15">
      <c r="A271" s="197"/>
      <c r="B271" s="197"/>
      <c r="C271" s="197"/>
      <c r="D271" s="197"/>
      <c r="E271" s="197"/>
      <c r="F271" s="197"/>
      <c r="G271" s="197"/>
      <c r="H271" s="197"/>
      <c r="I271" s="197"/>
      <c r="J271" s="197"/>
      <c r="K271" s="197"/>
      <c r="L271" s="197"/>
      <c r="M271" s="197"/>
      <c r="N271" s="197"/>
      <c r="O271" s="197"/>
      <c r="P271" s="197"/>
      <c r="Q271" s="197"/>
      <c r="R271" s="197"/>
      <c r="S271" s="197"/>
      <c r="T271" s="197"/>
      <c r="U271" s="197"/>
      <c r="V271" s="197"/>
      <c r="W271" s="197"/>
      <c r="X271" s="197"/>
      <c r="Y271" s="197"/>
      <c r="Z271" s="197"/>
      <c r="AA271" s="197"/>
      <c r="AB271" s="197"/>
      <c r="AC271" s="197"/>
      <c r="AD271" s="197"/>
      <c r="AE271" s="197"/>
      <c r="AF271" s="197"/>
      <c r="AG271" s="197"/>
      <c r="AH271" s="197"/>
      <c r="AI271" s="197"/>
    </row>
    <row r="272" spans="1:35" ht="15">
      <c r="A272" s="197"/>
      <c r="B272" s="197"/>
      <c r="C272" s="197"/>
      <c r="D272" s="197"/>
      <c r="E272" s="197"/>
      <c r="F272" s="197"/>
      <c r="G272" s="197"/>
      <c r="H272" s="197"/>
      <c r="I272" s="197"/>
      <c r="J272" s="197"/>
      <c r="K272" s="197"/>
      <c r="L272" s="197"/>
      <c r="M272" s="197"/>
      <c r="N272" s="197"/>
      <c r="O272" s="197"/>
      <c r="P272" s="197"/>
      <c r="Q272" s="197"/>
      <c r="R272" s="197"/>
      <c r="S272" s="197"/>
      <c r="T272" s="197"/>
      <c r="U272" s="197"/>
      <c r="V272" s="197"/>
      <c r="W272" s="197"/>
      <c r="X272" s="197"/>
      <c r="Y272" s="197"/>
      <c r="Z272" s="197"/>
      <c r="AA272" s="197"/>
      <c r="AB272" s="197"/>
      <c r="AC272" s="197"/>
      <c r="AD272" s="197"/>
      <c r="AE272" s="197"/>
      <c r="AF272" s="197"/>
      <c r="AG272" s="197"/>
      <c r="AH272" s="197"/>
      <c r="AI272" s="197"/>
    </row>
    <row r="273" spans="1:35" ht="15">
      <c r="A273" s="197"/>
      <c r="B273" s="197"/>
      <c r="C273" s="197"/>
      <c r="D273" s="197"/>
      <c r="E273" s="197"/>
      <c r="F273" s="197"/>
      <c r="G273" s="197"/>
      <c r="H273" s="197"/>
      <c r="I273" s="197"/>
      <c r="J273" s="197"/>
      <c r="K273" s="197"/>
      <c r="L273" s="197"/>
      <c r="M273" s="197"/>
      <c r="N273" s="197"/>
      <c r="O273" s="197"/>
      <c r="P273" s="197"/>
      <c r="Q273" s="197"/>
      <c r="R273" s="197"/>
      <c r="S273" s="197"/>
      <c r="T273" s="197"/>
      <c r="U273" s="197"/>
      <c r="V273" s="197"/>
      <c r="W273" s="197"/>
      <c r="X273" s="197"/>
      <c r="Y273" s="197"/>
      <c r="Z273" s="197"/>
      <c r="AA273" s="197"/>
      <c r="AB273" s="197"/>
      <c r="AC273" s="197"/>
      <c r="AD273" s="197"/>
      <c r="AE273" s="197"/>
      <c r="AF273" s="197"/>
      <c r="AG273" s="197"/>
      <c r="AH273" s="197"/>
      <c r="AI273" s="197"/>
    </row>
    <row r="274" spans="1:35" ht="15">
      <c r="A274" s="197"/>
      <c r="B274" s="197"/>
      <c r="C274" s="197"/>
      <c r="D274" s="197"/>
      <c r="E274" s="197"/>
      <c r="F274" s="197"/>
      <c r="G274" s="197"/>
      <c r="H274" s="197"/>
      <c r="I274" s="197"/>
      <c r="J274" s="197"/>
      <c r="K274" s="197"/>
      <c r="L274" s="197"/>
      <c r="M274" s="197"/>
      <c r="N274" s="197"/>
      <c r="O274" s="197"/>
      <c r="P274" s="197"/>
      <c r="Q274" s="197"/>
      <c r="R274" s="197"/>
      <c r="S274" s="197"/>
      <c r="T274" s="197"/>
      <c r="U274" s="197"/>
      <c r="V274" s="197"/>
      <c r="W274" s="197"/>
      <c r="X274" s="197"/>
      <c r="Y274" s="197"/>
      <c r="Z274" s="197"/>
      <c r="AA274" s="197"/>
      <c r="AB274" s="197"/>
      <c r="AC274" s="197"/>
      <c r="AD274" s="197"/>
      <c r="AE274" s="197"/>
      <c r="AF274" s="197"/>
      <c r="AG274" s="197"/>
      <c r="AH274" s="197"/>
      <c r="AI274" s="197"/>
    </row>
    <row r="275" spans="1:35" ht="15">
      <c r="A275" s="197"/>
      <c r="B275" s="197"/>
      <c r="C275" s="197"/>
      <c r="D275" s="197"/>
      <c r="E275" s="197"/>
      <c r="F275" s="197"/>
      <c r="G275" s="197"/>
      <c r="H275" s="197"/>
      <c r="I275" s="197"/>
      <c r="J275" s="197"/>
      <c r="K275" s="197"/>
      <c r="L275" s="197"/>
      <c r="M275" s="197"/>
      <c r="N275" s="197"/>
      <c r="O275" s="197"/>
      <c r="P275" s="197"/>
      <c r="Q275" s="197"/>
      <c r="R275" s="197"/>
      <c r="S275" s="197"/>
      <c r="T275" s="197"/>
      <c r="U275" s="197"/>
      <c r="V275" s="197"/>
      <c r="W275" s="197"/>
      <c r="X275" s="197"/>
      <c r="Y275" s="197"/>
      <c r="Z275" s="197"/>
      <c r="AA275" s="197"/>
      <c r="AB275" s="197"/>
      <c r="AC275" s="197"/>
      <c r="AD275" s="197"/>
      <c r="AE275" s="197"/>
      <c r="AF275" s="197"/>
      <c r="AG275" s="197"/>
      <c r="AH275" s="197"/>
      <c r="AI275" s="197"/>
    </row>
    <row r="276" spans="1:35" ht="15">
      <c r="A276" s="197"/>
      <c r="B276" s="197"/>
      <c r="C276" s="197"/>
      <c r="D276" s="197"/>
      <c r="E276" s="197"/>
      <c r="F276" s="197"/>
      <c r="G276" s="197"/>
      <c r="H276" s="197"/>
      <c r="I276" s="197"/>
      <c r="J276" s="197"/>
      <c r="K276" s="197"/>
      <c r="L276" s="197"/>
      <c r="M276" s="197"/>
      <c r="N276" s="197"/>
      <c r="O276" s="197"/>
      <c r="P276" s="197"/>
      <c r="Q276" s="197"/>
      <c r="R276" s="197"/>
      <c r="S276" s="197"/>
      <c r="T276" s="197"/>
      <c r="U276" s="197"/>
      <c r="V276" s="197"/>
      <c r="W276" s="197"/>
      <c r="X276" s="197"/>
      <c r="Y276" s="197"/>
      <c r="Z276" s="197"/>
      <c r="AA276" s="197"/>
      <c r="AB276" s="197"/>
      <c r="AC276" s="197"/>
      <c r="AD276" s="197"/>
      <c r="AE276" s="197"/>
      <c r="AF276" s="197"/>
      <c r="AG276" s="197"/>
      <c r="AH276" s="197"/>
      <c r="AI276" s="197"/>
    </row>
    <row r="277" spans="1:35" ht="15">
      <c r="A277" s="197"/>
      <c r="B277" s="197"/>
      <c r="C277" s="197"/>
      <c r="D277" s="197"/>
      <c r="E277" s="197"/>
      <c r="F277" s="197"/>
      <c r="G277" s="197"/>
      <c r="H277" s="197"/>
      <c r="I277" s="197"/>
      <c r="J277" s="197"/>
      <c r="K277" s="197"/>
      <c r="L277" s="197"/>
      <c r="M277" s="197"/>
      <c r="N277" s="197"/>
      <c r="O277" s="197"/>
      <c r="P277" s="197"/>
      <c r="Q277" s="197"/>
      <c r="R277" s="197"/>
      <c r="S277" s="197"/>
      <c r="T277" s="197"/>
      <c r="U277" s="197"/>
      <c r="V277" s="197"/>
      <c r="W277" s="197"/>
      <c r="X277" s="197"/>
      <c r="Y277" s="197"/>
      <c r="Z277" s="197"/>
      <c r="AA277" s="197"/>
      <c r="AB277" s="197"/>
      <c r="AC277" s="197"/>
      <c r="AD277" s="197"/>
      <c r="AE277" s="197"/>
      <c r="AF277" s="197"/>
      <c r="AG277" s="197"/>
      <c r="AH277" s="197"/>
      <c r="AI277" s="197"/>
    </row>
    <row r="278" spans="1:35" ht="15">
      <c r="A278" s="197"/>
      <c r="B278" s="197"/>
      <c r="C278" s="197"/>
      <c r="D278" s="197"/>
      <c r="E278" s="197"/>
      <c r="F278" s="197"/>
      <c r="G278" s="197"/>
      <c r="H278" s="197"/>
      <c r="I278" s="197"/>
      <c r="J278" s="197"/>
      <c r="K278" s="197"/>
      <c r="L278" s="197"/>
      <c r="M278" s="197"/>
      <c r="N278" s="197"/>
      <c r="O278" s="197"/>
      <c r="P278" s="197"/>
      <c r="Q278" s="197"/>
      <c r="R278" s="197"/>
      <c r="S278" s="197"/>
      <c r="T278" s="197"/>
      <c r="U278" s="197"/>
      <c r="V278" s="197"/>
      <c r="W278" s="197"/>
      <c r="X278" s="197"/>
      <c r="Y278" s="197"/>
      <c r="Z278" s="197"/>
      <c r="AA278" s="197"/>
      <c r="AB278" s="197"/>
      <c r="AC278" s="197"/>
      <c r="AD278" s="197"/>
      <c r="AE278" s="197"/>
      <c r="AF278" s="197"/>
      <c r="AG278" s="197"/>
      <c r="AH278" s="197"/>
      <c r="AI278" s="197"/>
    </row>
    <row r="279" spans="1:35" ht="15">
      <c r="A279" s="197"/>
      <c r="B279" s="197"/>
      <c r="C279" s="197"/>
      <c r="D279" s="197"/>
      <c r="E279" s="197"/>
      <c r="F279" s="197"/>
      <c r="G279" s="197"/>
      <c r="H279" s="197"/>
      <c r="I279" s="197"/>
      <c r="J279" s="197"/>
      <c r="K279" s="197"/>
      <c r="L279" s="197"/>
      <c r="M279" s="197"/>
      <c r="N279" s="197"/>
      <c r="O279" s="197"/>
      <c r="P279" s="197"/>
      <c r="Q279" s="197"/>
      <c r="R279" s="197"/>
      <c r="S279" s="197"/>
      <c r="T279" s="197"/>
      <c r="U279" s="197"/>
      <c r="V279" s="197"/>
      <c r="W279" s="197"/>
      <c r="X279" s="197"/>
      <c r="Y279" s="197"/>
      <c r="Z279" s="197"/>
      <c r="AA279" s="197"/>
      <c r="AB279" s="197"/>
      <c r="AC279" s="197"/>
      <c r="AD279" s="197"/>
      <c r="AE279" s="197"/>
      <c r="AF279" s="197"/>
      <c r="AG279" s="197"/>
      <c r="AH279" s="197"/>
      <c r="AI279" s="197"/>
    </row>
    <row r="280" spans="1:35" ht="15">
      <c r="A280" s="197"/>
      <c r="B280" s="197"/>
      <c r="C280" s="197"/>
      <c r="D280" s="197"/>
      <c r="E280" s="197"/>
      <c r="F280" s="197"/>
      <c r="G280" s="197"/>
      <c r="H280" s="197"/>
      <c r="I280" s="197"/>
      <c r="J280" s="197"/>
      <c r="K280" s="197"/>
      <c r="L280" s="197"/>
      <c r="M280" s="197"/>
      <c r="N280" s="197"/>
      <c r="O280" s="197"/>
      <c r="P280" s="197"/>
      <c r="Q280" s="197"/>
      <c r="R280" s="197"/>
      <c r="S280" s="197"/>
      <c r="T280" s="197"/>
      <c r="U280" s="197"/>
      <c r="V280" s="197"/>
      <c r="W280" s="197"/>
      <c r="X280" s="197"/>
      <c r="Y280" s="197"/>
      <c r="Z280" s="197"/>
      <c r="AA280" s="197"/>
      <c r="AB280" s="197"/>
      <c r="AC280" s="197"/>
      <c r="AD280" s="197"/>
      <c r="AE280" s="197"/>
      <c r="AF280" s="197"/>
      <c r="AG280" s="197"/>
      <c r="AH280" s="197"/>
      <c r="AI280" s="197"/>
    </row>
    <row r="281" spans="1:35" ht="15">
      <c r="A281" s="197"/>
      <c r="B281" s="197"/>
      <c r="C281" s="197"/>
      <c r="D281" s="197"/>
      <c r="E281" s="197"/>
      <c r="F281" s="197"/>
      <c r="G281" s="197"/>
      <c r="H281" s="197"/>
      <c r="I281" s="197"/>
      <c r="J281" s="197"/>
      <c r="K281" s="197"/>
      <c r="L281" s="197"/>
      <c r="M281" s="197"/>
      <c r="N281" s="197"/>
      <c r="O281" s="197"/>
      <c r="P281" s="197"/>
      <c r="Q281" s="197"/>
      <c r="R281" s="197"/>
      <c r="S281" s="197"/>
      <c r="T281" s="197"/>
      <c r="U281" s="197"/>
      <c r="V281" s="197"/>
      <c r="W281" s="197"/>
      <c r="X281" s="197"/>
      <c r="Y281" s="197"/>
      <c r="Z281" s="197"/>
      <c r="AA281" s="197"/>
      <c r="AB281" s="197"/>
      <c r="AC281" s="197"/>
      <c r="AD281" s="197"/>
      <c r="AE281" s="197"/>
      <c r="AF281" s="197"/>
      <c r="AG281" s="197"/>
      <c r="AH281" s="197"/>
      <c r="AI281" s="197"/>
    </row>
    <row r="282" spans="1:35" ht="15">
      <c r="A282" s="197"/>
      <c r="B282" s="197"/>
      <c r="C282" s="197"/>
      <c r="D282" s="197"/>
      <c r="E282" s="197"/>
      <c r="F282" s="197"/>
      <c r="G282" s="197"/>
      <c r="H282" s="197"/>
      <c r="I282" s="197"/>
      <c r="J282" s="197"/>
      <c r="K282" s="197"/>
      <c r="L282" s="197"/>
      <c r="M282" s="197"/>
      <c r="N282" s="197"/>
      <c r="O282" s="197"/>
      <c r="P282" s="197"/>
      <c r="Q282" s="197"/>
      <c r="R282" s="197"/>
      <c r="S282" s="197"/>
      <c r="T282" s="197"/>
      <c r="U282" s="197"/>
      <c r="V282" s="197"/>
      <c r="W282" s="197"/>
      <c r="X282" s="197"/>
      <c r="Y282" s="197"/>
      <c r="Z282" s="197"/>
      <c r="AA282" s="197"/>
      <c r="AB282" s="197"/>
      <c r="AC282" s="197"/>
      <c r="AD282" s="197"/>
      <c r="AE282" s="197"/>
      <c r="AF282" s="197"/>
      <c r="AG282" s="197"/>
      <c r="AH282" s="197"/>
      <c r="AI282" s="197"/>
    </row>
    <row r="283" spans="1:35" ht="15">
      <c r="A283" s="197"/>
      <c r="B283" s="197"/>
      <c r="C283" s="197"/>
      <c r="D283" s="197"/>
      <c r="E283" s="197"/>
      <c r="F283" s="197"/>
      <c r="G283" s="197"/>
      <c r="H283" s="197"/>
      <c r="I283" s="197"/>
      <c r="J283" s="197"/>
      <c r="K283" s="197"/>
      <c r="L283" s="197"/>
      <c r="M283" s="197"/>
      <c r="N283" s="197"/>
      <c r="O283" s="197"/>
      <c r="P283" s="197"/>
      <c r="Q283" s="197"/>
      <c r="R283" s="197"/>
      <c r="S283" s="197"/>
      <c r="T283" s="197"/>
      <c r="U283" s="197"/>
      <c r="V283" s="197"/>
      <c r="W283" s="197"/>
      <c r="X283" s="197"/>
      <c r="Y283" s="197"/>
      <c r="Z283" s="197"/>
      <c r="AA283" s="197"/>
      <c r="AB283" s="197"/>
      <c r="AC283" s="197"/>
      <c r="AD283" s="197"/>
      <c r="AE283" s="197"/>
      <c r="AF283" s="197"/>
      <c r="AG283" s="197"/>
      <c r="AH283" s="197"/>
      <c r="AI283" s="197"/>
    </row>
    <row r="284" spans="1:35" ht="15">
      <c r="A284" s="197"/>
      <c r="B284" s="197"/>
      <c r="C284" s="197"/>
      <c r="D284" s="197"/>
      <c r="E284" s="197"/>
      <c r="F284" s="197"/>
      <c r="G284" s="197"/>
      <c r="H284" s="197"/>
      <c r="I284" s="197"/>
      <c r="J284" s="197"/>
      <c r="K284" s="197"/>
      <c r="L284" s="197"/>
      <c r="M284" s="197"/>
      <c r="N284" s="197"/>
      <c r="O284" s="197"/>
      <c r="P284" s="197"/>
      <c r="Q284" s="197"/>
      <c r="R284" s="197"/>
      <c r="S284" s="197"/>
      <c r="T284" s="197"/>
      <c r="U284" s="197"/>
      <c r="V284" s="197"/>
      <c r="W284" s="197"/>
      <c r="X284" s="197"/>
      <c r="Y284" s="197"/>
      <c r="Z284" s="197"/>
      <c r="AA284" s="197"/>
      <c r="AB284" s="197"/>
      <c r="AC284" s="197"/>
      <c r="AD284" s="197"/>
      <c r="AE284" s="197"/>
      <c r="AF284" s="197"/>
      <c r="AG284" s="197"/>
      <c r="AH284" s="197"/>
      <c r="AI284" s="197"/>
    </row>
    <row r="285" spans="1:35" ht="15">
      <c r="A285" s="197"/>
      <c r="B285" s="197"/>
      <c r="C285" s="197"/>
      <c r="D285" s="197"/>
      <c r="E285" s="197"/>
      <c r="F285" s="197"/>
      <c r="G285" s="197"/>
      <c r="H285" s="197"/>
      <c r="I285" s="197"/>
      <c r="J285" s="197"/>
      <c r="K285" s="197"/>
      <c r="L285" s="197"/>
      <c r="M285" s="197"/>
      <c r="N285" s="197"/>
      <c r="O285" s="197"/>
      <c r="P285" s="197"/>
      <c r="Q285" s="197"/>
      <c r="R285" s="197"/>
      <c r="S285" s="197"/>
      <c r="T285" s="197"/>
      <c r="U285" s="197"/>
      <c r="V285" s="197"/>
      <c r="W285" s="197"/>
      <c r="X285" s="197"/>
      <c r="Y285" s="197"/>
      <c r="Z285" s="197"/>
      <c r="AA285" s="197"/>
      <c r="AB285" s="197"/>
      <c r="AC285" s="197"/>
      <c r="AD285" s="197"/>
      <c r="AE285" s="197"/>
      <c r="AF285" s="197"/>
      <c r="AG285" s="197"/>
      <c r="AH285" s="197"/>
      <c r="AI285" s="197"/>
    </row>
    <row r="286" spans="1:35" ht="15">
      <c r="A286" s="197"/>
      <c r="B286" s="197"/>
      <c r="C286" s="197"/>
      <c r="D286" s="197"/>
      <c r="E286" s="197"/>
      <c r="F286" s="197"/>
      <c r="G286" s="197"/>
      <c r="H286" s="197"/>
      <c r="I286" s="197"/>
      <c r="J286" s="197"/>
      <c r="K286" s="197"/>
      <c r="L286" s="197"/>
      <c r="M286" s="197"/>
      <c r="N286" s="197"/>
      <c r="O286" s="197"/>
      <c r="P286" s="197"/>
      <c r="Q286" s="197"/>
      <c r="R286" s="197"/>
      <c r="S286" s="197"/>
      <c r="T286" s="197"/>
      <c r="U286" s="197"/>
      <c r="V286" s="197"/>
      <c r="W286" s="197"/>
      <c r="X286" s="197"/>
      <c r="Y286" s="197"/>
      <c r="Z286" s="197"/>
      <c r="AA286" s="197"/>
      <c r="AB286" s="197"/>
      <c r="AC286" s="197"/>
      <c r="AD286" s="197"/>
      <c r="AE286" s="197"/>
      <c r="AF286" s="197"/>
      <c r="AG286" s="197"/>
      <c r="AH286" s="197"/>
      <c r="AI286" s="197"/>
    </row>
    <row r="287" spans="1:35" ht="15">
      <c r="A287" s="197"/>
      <c r="B287" s="197"/>
      <c r="C287" s="197"/>
      <c r="D287" s="197"/>
      <c r="E287" s="197"/>
      <c r="F287" s="197"/>
      <c r="G287" s="197"/>
      <c r="H287" s="197"/>
      <c r="I287" s="197"/>
      <c r="J287" s="197"/>
      <c r="K287" s="197"/>
      <c r="L287" s="197"/>
      <c r="M287" s="197"/>
      <c r="N287" s="197"/>
      <c r="O287" s="197"/>
      <c r="P287" s="197"/>
      <c r="Q287" s="197"/>
      <c r="R287" s="197"/>
      <c r="S287" s="197"/>
      <c r="T287" s="197"/>
      <c r="U287" s="197"/>
      <c r="V287" s="197"/>
      <c r="W287" s="197"/>
      <c r="X287" s="197"/>
      <c r="Y287" s="197"/>
      <c r="Z287" s="197"/>
      <c r="AA287" s="197"/>
      <c r="AB287" s="197"/>
      <c r="AC287" s="197"/>
      <c r="AD287" s="197"/>
      <c r="AE287" s="197"/>
      <c r="AF287" s="197"/>
      <c r="AG287" s="197"/>
      <c r="AH287" s="197"/>
      <c r="AI287" s="197"/>
    </row>
    <row r="288" spans="1:35" ht="15">
      <c r="A288" s="197"/>
      <c r="B288" s="197"/>
      <c r="C288" s="197"/>
      <c r="D288" s="197"/>
      <c r="E288" s="197"/>
      <c r="F288" s="197"/>
      <c r="G288" s="197"/>
      <c r="H288" s="197"/>
      <c r="I288" s="197"/>
      <c r="J288" s="197"/>
      <c r="K288" s="197"/>
      <c r="L288" s="197"/>
      <c r="M288" s="197"/>
      <c r="N288" s="197"/>
      <c r="O288" s="197"/>
      <c r="P288" s="197"/>
      <c r="Q288" s="197"/>
      <c r="R288" s="197"/>
      <c r="S288" s="197"/>
      <c r="T288" s="197"/>
      <c r="U288" s="197"/>
      <c r="V288" s="197"/>
      <c r="W288" s="197"/>
      <c r="X288" s="197"/>
      <c r="Y288" s="197"/>
      <c r="Z288" s="197"/>
      <c r="AA288" s="197"/>
      <c r="AB288" s="197"/>
      <c r="AC288" s="197"/>
      <c r="AD288" s="197"/>
      <c r="AE288" s="197"/>
      <c r="AF288" s="197"/>
      <c r="AG288" s="197"/>
      <c r="AH288" s="197"/>
      <c r="AI288" s="197"/>
    </row>
    <row r="289" spans="1:35" ht="15">
      <c r="A289" s="197"/>
      <c r="B289" s="197"/>
      <c r="C289" s="197"/>
      <c r="D289" s="197"/>
      <c r="E289" s="197"/>
      <c r="F289" s="197"/>
      <c r="G289" s="197"/>
      <c r="H289" s="197"/>
      <c r="I289" s="197"/>
      <c r="J289" s="197"/>
      <c r="K289" s="197"/>
      <c r="L289" s="197"/>
      <c r="M289" s="197"/>
      <c r="N289" s="197"/>
      <c r="O289" s="197"/>
      <c r="P289" s="197"/>
      <c r="Q289" s="197"/>
      <c r="R289" s="197"/>
      <c r="S289" s="197"/>
      <c r="T289" s="197"/>
      <c r="U289" s="197"/>
      <c r="V289" s="197"/>
      <c r="W289" s="197"/>
      <c r="X289" s="197"/>
      <c r="Y289" s="197"/>
      <c r="Z289" s="197"/>
      <c r="AA289" s="197"/>
      <c r="AB289" s="197"/>
      <c r="AC289" s="197"/>
      <c r="AD289" s="197"/>
      <c r="AE289" s="197"/>
      <c r="AF289" s="197"/>
      <c r="AG289" s="197"/>
      <c r="AH289" s="197"/>
      <c r="AI289" s="197"/>
    </row>
    <row r="290" spans="1:35" ht="15">
      <c r="A290" s="197"/>
      <c r="B290" s="197"/>
      <c r="C290" s="197"/>
      <c r="D290" s="197"/>
      <c r="E290" s="197"/>
      <c r="F290" s="197"/>
      <c r="G290" s="197"/>
      <c r="H290" s="197"/>
      <c r="I290" s="197"/>
      <c r="J290" s="197"/>
      <c r="K290" s="197"/>
      <c r="L290" s="197"/>
      <c r="M290" s="197"/>
      <c r="N290" s="197"/>
      <c r="O290" s="197"/>
      <c r="P290" s="197"/>
      <c r="Q290" s="197"/>
      <c r="R290" s="197"/>
      <c r="S290" s="197"/>
      <c r="T290" s="197"/>
      <c r="U290" s="197"/>
      <c r="V290" s="197"/>
      <c r="W290" s="197"/>
      <c r="X290" s="197"/>
      <c r="Y290" s="197"/>
      <c r="Z290" s="197"/>
      <c r="AA290" s="197"/>
      <c r="AB290" s="197"/>
      <c r="AC290" s="197"/>
      <c r="AD290" s="197"/>
      <c r="AE290" s="197"/>
      <c r="AF290" s="197"/>
      <c r="AG290" s="197"/>
      <c r="AH290" s="197"/>
      <c r="AI290" s="197"/>
    </row>
    <row r="291" spans="1:35" ht="15">
      <c r="A291" s="197"/>
      <c r="B291" s="197"/>
      <c r="C291" s="197"/>
      <c r="D291" s="197"/>
      <c r="E291" s="197"/>
      <c r="F291" s="197"/>
      <c r="G291" s="197"/>
      <c r="H291" s="197"/>
      <c r="I291" s="197"/>
      <c r="J291" s="197"/>
      <c r="K291" s="197"/>
      <c r="L291" s="197"/>
      <c r="M291" s="197"/>
      <c r="N291" s="197"/>
      <c r="O291" s="197"/>
      <c r="P291" s="197"/>
      <c r="Q291" s="197"/>
      <c r="R291" s="197"/>
      <c r="S291" s="197"/>
      <c r="T291" s="197"/>
      <c r="U291" s="197"/>
      <c r="V291" s="197"/>
      <c r="W291" s="197"/>
      <c r="X291" s="197"/>
      <c r="Y291" s="197"/>
      <c r="Z291" s="197"/>
      <c r="AA291" s="197"/>
      <c r="AB291" s="197"/>
      <c r="AC291" s="197"/>
      <c r="AD291" s="197"/>
      <c r="AE291" s="197"/>
      <c r="AF291" s="197"/>
      <c r="AG291" s="197"/>
      <c r="AH291" s="197"/>
      <c r="AI291" s="197"/>
    </row>
    <row r="292" spans="1:35" ht="15">
      <c r="A292" s="197"/>
      <c r="B292" s="197"/>
      <c r="C292" s="197"/>
      <c r="D292" s="197"/>
      <c r="E292" s="197"/>
      <c r="F292" s="197"/>
      <c r="G292" s="197"/>
      <c r="H292" s="197"/>
      <c r="I292" s="197"/>
      <c r="J292" s="197"/>
      <c r="K292" s="197"/>
      <c r="L292" s="197"/>
      <c r="M292" s="197"/>
      <c r="N292" s="197"/>
      <c r="O292" s="197"/>
      <c r="P292" s="197"/>
      <c r="Q292" s="197"/>
      <c r="R292" s="197"/>
      <c r="S292" s="197"/>
      <c r="T292" s="197"/>
      <c r="U292" s="197"/>
      <c r="V292" s="197"/>
      <c r="W292" s="197"/>
      <c r="X292" s="197"/>
      <c r="Y292" s="197"/>
      <c r="Z292" s="197"/>
      <c r="AA292" s="197"/>
      <c r="AB292" s="197"/>
      <c r="AC292" s="197"/>
      <c r="AD292" s="197"/>
      <c r="AE292" s="197"/>
      <c r="AF292" s="197"/>
      <c r="AG292" s="197"/>
      <c r="AH292" s="197"/>
      <c r="AI292" s="197"/>
    </row>
    <row r="293" spans="1:35" ht="15">
      <c r="A293" s="197"/>
      <c r="B293" s="197"/>
      <c r="C293" s="197"/>
      <c r="D293" s="197"/>
      <c r="E293" s="197"/>
      <c r="F293" s="197"/>
      <c r="G293" s="197"/>
      <c r="H293" s="197"/>
      <c r="I293" s="197"/>
      <c r="J293" s="197"/>
      <c r="K293" s="197"/>
      <c r="L293" s="197"/>
      <c r="M293" s="197"/>
      <c r="N293" s="197"/>
      <c r="O293" s="197"/>
      <c r="P293" s="197"/>
      <c r="Q293" s="197"/>
      <c r="R293" s="197"/>
      <c r="S293" s="197"/>
      <c r="T293" s="197"/>
      <c r="U293" s="197"/>
      <c r="V293" s="197"/>
      <c r="W293" s="197"/>
      <c r="X293" s="197"/>
      <c r="Y293" s="197"/>
      <c r="Z293" s="197"/>
      <c r="AA293" s="197"/>
      <c r="AB293" s="197"/>
      <c r="AC293" s="197"/>
      <c r="AD293" s="197"/>
      <c r="AE293" s="197"/>
      <c r="AF293" s="197"/>
      <c r="AG293" s="197"/>
      <c r="AH293" s="197"/>
      <c r="AI293" s="197"/>
    </row>
    <row r="294" spans="1:35" ht="15">
      <c r="A294" s="197"/>
      <c r="B294" s="197"/>
      <c r="C294" s="197"/>
      <c r="D294" s="197"/>
      <c r="E294" s="197"/>
      <c r="F294" s="197"/>
      <c r="G294" s="197"/>
      <c r="H294" s="197"/>
      <c r="I294" s="197"/>
      <c r="J294" s="197"/>
      <c r="K294" s="197"/>
      <c r="L294" s="197"/>
      <c r="M294" s="197"/>
      <c r="N294" s="197"/>
      <c r="O294" s="197"/>
      <c r="P294" s="197"/>
      <c r="Q294" s="197"/>
      <c r="R294" s="197"/>
      <c r="S294" s="197"/>
      <c r="T294" s="197"/>
      <c r="U294" s="197"/>
      <c r="V294" s="197"/>
      <c r="W294" s="197"/>
      <c r="X294" s="197"/>
      <c r="Y294" s="197"/>
      <c r="Z294" s="197"/>
      <c r="AA294" s="197"/>
      <c r="AB294" s="197"/>
      <c r="AC294" s="197"/>
      <c r="AD294" s="197"/>
      <c r="AE294" s="197"/>
      <c r="AF294" s="197"/>
      <c r="AG294" s="197"/>
      <c r="AH294" s="197"/>
      <c r="AI294" s="197"/>
    </row>
    <row r="295" spans="1:35" ht="15">
      <c r="A295" s="197"/>
      <c r="B295" s="197"/>
      <c r="C295" s="197"/>
      <c r="D295" s="197"/>
      <c r="E295" s="197"/>
      <c r="F295" s="197"/>
      <c r="G295" s="197"/>
      <c r="H295" s="197"/>
      <c r="I295" s="197"/>
      <c r="J295" s="197"/>
      <c r="K295" s="197"/>
      <c r="L295" s="197"/>
      <c r="M295" s="197"/>
      <c r="N295" s="197"/>
      <c r="O295" s="197"/>
      <c r="P295" s="197"/>
      <c r="Q295" s="197"/>
      <c r="R295" s="197"/>
      <c r="S295" s="197"/>
      <c r="T295" s="197"/>
      <c r="U295" s="197"/>
      <c r="V295" s="197"/>
      <c r="W295" s="197"/>
      <c r="X295" s="197"/>
      <c r="Y295" s="197"/>
      <c r="Z295" s="197"/>
      <c r="AA295" s="197"/>
      <c r="AB295" s="197"/>
      <c r="AC295" s="197"/>
      <c r="AD295" s="197"/>
      <c r="AE295" s="197"/>
      <c r="AF295" s="197"/>
      <c r="AG295" s="197"/>
      <c r="AH295" s="197"/>
      <c r="AI295" s="197"/>
    </row>
    <row r="296" spans="1:35" ht="15">
      <c r="A296" s="197"/>
      <c r="B296" s="197"/>
      <c r="C296" s="197"/>
      <c r="D296" s="197"/>
      <c r="E296" s="197"/>
      <c r="F296" s="197"/>
      <c r="G296" s="197"/>
      <c r="H296" s="197"/>
      <c r="I296" s="197"/>
      <c r="J296" s="197"/>
      <c r="K296" s="197"/>
      <c r="L296" s="197"/>
      <c r="M296" s="197"/>
      <c r="N296" s="197"/>
      <c r="O296" s="197"/>
      <c r="P296" s="197"/>
      <c r="Q296" s="197"/>
      <c r="R296" s="197"/>
      <c r="S296" s="197"/>
      <c r="T296" s="197"/>
      <c r="U296" s="197"/>
      <c r="V296" s="197"/>
      <c r="W296" s="197"/>
      <c r="X296" s="197"/>
      <c r="Y296" s="197"/>
      <c r="Z296" s="197"/>
      <c r="AA296" s="197"/>
      <c r="AB296" s="197"/>
      <c r="AC296" s="197"/>
      <c r="AD296" s="197"/>
      <c r="AE296" s="197"/>
      <c r="AF296" s="197"/>
      <c r="AG296" s="197"/>
      <c r="AH296" s="197"/>
      <c r="AI296" s="197"/>
    </row>
    <row r="297" spans="1:35" ht="15">
      <c r="A297" s="197"/>
      <c r="B297" s="197"/>
      <c r="C297" s="197"/>
      <c r="D297" s="197"/>
      <c r="E297" s="197"/>
      <c r="F297" s="197"/>
      <c r="G297" s="197"/>
      <c r="H297" s="197"/>
      <c r="I297" s="197"/>
      <c r="J297" s="197"/>
      <c r="K297" s="197"/>
      <c r="L297" s="197"/>
      <c r="M297" s="197"/>
      <c r="N297" s="197"/>
      <c r="O297" s="197"/>
      <c r="P297" s="197"/>
      <c r="Q297" s="197"/>
      <c r="R297" s="197"/>
      <c r="S297" s="197"/>
      <c r="T297" s="197"/>
      <c r="U297" s="197"/>
      <c r="V297" s="197"/>
      <c r="W297" s="197"/>
      <c r="X297" s="197"/>
      <c r="Y297" s="197"/>
      <c r="Z297" s="197"/>
      <c r="AA297" s="197"/>
      <c r="AB297" s="197"/>
      <c r="AC297" s="197"/>
      <c r="AD297" s="197"/>
      <c r="AE297" s="197"/>
      <c r="AF297" s="197"/>
      <c r="AG297" s="197"/>
      <c r="AH297" s="197"/>
      <c r="AI297" s="197"/>
    </row>
    <row r="298" spans="1:35" ht="15">
      <c r="A298" s="197"/>
      <c r="B298" s="197"/>
      <c r="C298" s="197"/>
      <c r="D298" s="197"/>
      <c r="E298" s="197"/>
      <c r="F298" s="197"/>
      <c r="G298" s="197"/>
      <c r="H298" s="197"/>
      <c r="I298" s="197"/>
      <c r="J298" s="197"/>
      <c r="K298" s="197"/>
      <c r="L298" s="197"/>
      <c r="M298" s="197"/>
      <c r="N298" s="197"/>
      <c r="O298" s="197"/>
      <c r="P298" s="197"/>
      <c r="Q298" s="197"/>
      <c r="R298" s="197"/>
      <c r="S298" s="197"/>
      <c r="T298" s="197"/>
      <c r="U298" s="197"/>
      <c r="V298" s="197"/>
      <c r="W298" s="197"/>
      <c r="X298" s="197"/>
      <c r="Y298" s="197"/>
      <c r="Z298" s="197"/>
      <c r="AA298" s="197"/>
      <c r="AB298" s="197"/>
      <c r="AC298" s="197"/>
      <c r="AD298" s="197"/>
      <c r="AE298" s="197"/>
      <c r="AF298" s="197"/>
      <c r="AG298" s="197"/>
      <c r="AH298" s="197"/>
      <c r="AI298" s="197"/>
    </row>
    <row r="299" spans="1:35" ht="15">
      <c r="A299" s="197"/>
      <c r="B299" s="197"/>
      <c r="C299" s="197"/>
      <c r="D299" s="197"/>
      <c r="E299" s="197"/>
      <c r="F299" s="197"/>
      <c r="G299" s="197"/>
      <c r="H299" s="197"/>
      <c r="I299" s="197"/>
      <c r="J299" s="197"/>
      <c r="K299" s="197"/>
      <c r="L299" s="197"/>
      <c r="M299" s="197"/>
      <c r="N299" s="197"/>
      <c r="O299" s="197"/>
      <c r="P299" s="197"/>
      <c r="Q299" s="197"/>
      <c r="R299" s="197"/>
      <c r="S299" s="197"/>
      <c r="T299" s="197"/>
      <c r="U299" s="197"/>
      <c r="V299" s="197"/>
      <c r="W299" s="197"/>
      <c r="X299" s="197"/>
      <c r="Y299" s="197"/>
      <c r="Z299" s="197"/>
      <c r="AA299" s="197"/>
      <c r="AB299" s="197"/>
      <c r="AC299" s="197"/>
      <c r="AD299" s="197"/>
      <c r="AE299" s="197"/>
      <c r="AF299" s="197"/>
      <c r="AG299" s="197"/>
      <c r="AH299" s="197"/>
      <c r="AI299" s="197"/>
    </row>
    <row r="300" spans="1:35" ht="15">
      <c r="A300" s="197"/>
      <c r="B300" s="197"/>
      <c r="C300" s="197"/>
      <c r="D300" s="197"/>
      <c r="E300" s="197"/>
      <c r="F300" s="197"/>
      <c r="G300" s="197"/>
      <c r="H300" s="197"/>
      <c r="I300" s="197"/>
      <c r="J300" s="197"/>
      <c r="K300" s="197"/>
      <c r="L300" s="197"/>
      <c r="M300" s="197"/>
      <c r="N300" s="197"/>
      <c r="O300" s="197"/>
      <c r="P300" s="197"/>
      <c r="Q300" s="197"/>
      <c r="R300" s="197"/>
      <c r="S300" s="197"/>
      <c r="T300" s="197"/>
      <c r="U300" s="197"/>
      <c r="V300" s="197"/>
      <c r="W300" s="197"/>
      <c r="X300" s="197"/>
      <c r="Y300" s="197"/>
      <c r="Z300" s="197"/>
      <c r="AA300" s="197"/>
      <c r="AB300" s="197"/>
      <c r="AC300" s="197"/>
      <c r="AD300" s="197"/>
      <c r="AE300" s="197"/>
      <c r="AF300" s="197"/>
      <c r="AG300" s="197"/>
      <c r="AH300" s="197"/>
      <c r="AI300" s="197"/>
    </row>
    <row r="301" spans="1:35" ht="15">
      <c r="A301" s="197"/>
      <c r="B301" s="197"/>
      <c r="C301" s="197"/>
      <c r="D301" s="197"/>
      <c r="E301" s="197"/>
      <c r="F301" s="197"/>
      <c r="G301" s="197"/>
      <c r="H301" s="197"/>
      <c r="I301" s="197"/>
      <c r="J301" s="197"/>
      <c r="K301" s="197"/>
      <c r="L301" s="197"/>
      <c r="M301" s="197"/>
      <c r="N301" s="197"/>
      <c r="O301" s="197"/>
      <c r="P301" s="197"/>
      <c r="Q301" s="197"/>
      <c r="R301" s="197"/>
      <c r="S301" s="197"/>
      <c r="T301" s="197"/>
      <c r="U301" s="197"/>
      <c r="V301" s="197"/>
      <c r="W301" s="197"/>
      <c r="X301" s="197"/>
      <c r="Y301" s="197"/>
      <c r="Z301" s="197"/>
      <c r="AA301" s="197"/>
      <c r="AB301" s="197"/>
      <c r="AC301" s="197"/>
      <c r="AD301" s="197"/>
      <c r="AE301" s="197"/>
      <c r="AF301" s="197"/>
      <c r="AG301" s="197"/>
      <c r="AH301" s="197"/>
      <c r="AI301" s="197"/>
    </row>
    <row r="302" spans="1:35" ht="15">
      <c r="A302" s="197"/>
      <c r="B302" s="197"/>
      <c r="C302" s="197"/>
      <c r="D302" s="197"/>
      <c r="E302" s="197"/>
      <c r="F302" s="197"/>
      <c r="G302" s="197"/>
      <c r="H302" s="197"/>
      <c r="I302" s="197"/>
      <c r="J302" s="197"/>
      <c r="K302" s="197"/>
      <c r="L302" s="197"/>
      <c r="M302" s="197"/>
      <c r="N302" s="197"/>
      <c r="O302" s="197"/>
      <c r="P302" s="197"/>
      <c r="Q302" s="197"/>
      <c r="R302" s="197"/>
      <c r="S302" s="197"/>
      <c r="T302" s="197"/>
      <c r="U302" s="197"/>
      <c r="V302" s="197"/>
      <c r="W302" s="197"/>
      <c r="X302" s="197"/>
      <c r="Y302" s="197"/>
      <c r="Z302" s="197"/>
      <c r="AA302" s="197"/>
      <c r="AB302" s="197"/>
      <c r="AC302" s="197"/>
      <c r="AD302" s="197"/>
      <c r="AE302" s="197"/>
      <c r="AF302" s="197"/>
      <c r="AG302" s="197"/>
      <c r="AH302" s="197"/>
      <c r="AI302" s="197"/>
    </row>
    <row r="303" spans="1:35" ht="15">
      <c r="A303" s="197"/>
      <c r="B303" s="197"/>
      <c r="C303" s="197"/>
      <c r="D303" s="197"/>
      <c r="E303" s="197"/>
      <c r="F303" s="197"/>
      <c r="G303" s="197"/>
      <c r="H303" s="197"/>
      <c r="I303" s="197"/>
      <c r="J303" s="197"/>
      <c r="K303" s="197"/>
      <c r="L303" s="197"/>
      <c r="M303" s="197"/>
      <c r="N303" s="197"/>
      <c r="O303" s="197"/>
      <c r="P303" s="197"/>
      <c r="Q303" s="197"/>
      <c r="R303" s="197"/>
      <c r="S303" s="197"/>
      <c r="T303" s="197"/>
      <c r="U303" s="197"/>
      <c r="V303" s="197"/>
      <c r="W303" s="197"/>
      <c r="X303" s="197"/>
      <c r="Y303" s="197"/>
      <c r="Z303" s="197"/>
      <c r="AA303" s="197"/>
      <c r="AB303" s="197"/>
      <c r="AC303" s="197"/>
      <c r="AD303" s="197"/>
      <c r="AE303" s="197"/>
      <c r="AF303" s="197"/>
      <c r="AG303" s="197"/>
      <c r="AH303" s="197"/>
      <c r="AI303" s="197"/>
    </row>
    <row r="304" spans="1:35" ht="15">
      <c r="A304" s="197"/>
      <c r="B304" s="197"/>
      <c r="C304" s="197"/>
      <c r="D304" s="197"/>
      <c r="E304" s="197"/>
      <c r="F304" s="197"/>
      <c r="G304" s="197"/>
      <c r="H304" s="197"/>
      <c r="I304" s="197"/>
      <c r="J304" s="197"/>
      <c r="K304" s="197"/>
      <c r="L304" s="197"/>
      <c r="M304" s="197"/>
      <c r="N304" s="197"/>
      <c r="O304" s="197"/>
      <c r="P304" s="197"/>
      <c r="Q304" s="197"/>
      <c r="R304" s="197"/>
      <c r="S304" s="197"/>
      <c r="T304" s="197"/>
      <c r="U304" s="197"/>
      <c r="V304" s="197"/>
      <c r="W304" s="197"/>
      <c r="X304" s="197"/>
      <c r="Y304" s="197"/>
      <c r="Z304" s="197"/>
      <c r="AA304" s="197"/>
      <c r="AB304" s="197"/>
      <c r="AC304" s="197"/>
      <c r="AD304" s="197"/>
      <c r="AE304" s="197"/>
      <c r="AF304" s="197"/>
      <c r="AG304" s="197"/>
      <c r="AH304" s="197"/>
      <c r="AI304" s="197"/>
    </row>
    <row r="305" spans="1:35" ht="15">
      <c r="A305" s="197"/>
      <c r="B305" s="197"/>
      <c r="C305" s="197"/>
      <c r="D305" s="197"/>
      <c r="E305" s="197"/>
      <c r="F305" s="197"/>
      <c r="G305" s="197"/>
      <c r="H305" s="197"/>
      <c r="I305" s="197"/>
      <c r="J305" s="197"/>
      <c r="K305" s="197"/>
      <c r="L305" s="197"/>
      <c r="M305" s="197"/>
      <c r="N305" s="197"/>
      <c r="O305" s="197"/>
      <c r="P305" s="197"/>
      <c r="Q305" s="197"/>
      <c r="R305" s="197"/>
      <c r="S305" s="197"/>
      <c r="T305" s="197"/>
      <c r="U305" s="197"/>
      <c r="V305" s="197"/>
      <c r="W305" s="197"/>
      <c r="X305" s="197"/>
      <c r="Y305" s="197"/>
      <c r="Z305" s="197"/>
      <c r="AA305" s="197"/>
      <c r="AB305" s="197"/>
      <c r="AC305" s="197"/>
      <c r="AD305" s="197"/>
      <c r="AE305" s="197"/>
      <c r="AF305" s="197"/>
      <c r="AG305" s="197"/>
      <c r="AH305" s="197"/>
      <c r="AI305" s="197"/>
    </row>
    <row r="306" spans="1:35" ht="15">
      <c r="A306" s="197"/>
      <c r="B306" s="197"/>
      <c r="C306" s="197"/>
      <c r="D306" s="197"/>
      <c r="E306" s="197"/>
      <c r="F306" s="197"/>
      <c r="G306" s="197"/>
      <c r="H306" s="197"/>
      <c r="I306" s="197"/>
      <c r="J306" s="197"/>
      <c r="K306" s="197"/>
      <c r="L306" s="197"/>
      <c r="M306" s="197"/>
      <c r="N306" s="197"/>
      <c r="O306" s="197"/>
      <c r="P306" s="197"/>
      <c r="Q306" s="197"/>
      <c r="R306" s="197"/>
      <c r="S306" s="197"/>
      <c r="T306" s="197"/>
      <c r="U306" s="197"/>
      <c r="V306" s="197"/>
      <c r="W306" s="197"/>
      <c r="X306" s="197"/>
      <c r="Y306" s="197"/>
      <c r="Z306" s="197"/>
      <c r="AA306" s="197"/>
      <c r="AB306" s="197"/>
      <c r="AC306" s="197"/>
      <c r="AD306" s="197"/>
      <c r="AE306" s="197"/>
      <c r="AF306" s="197"/>
      <c r="AG306" s="197"/>
      <c r="AH306" s="197"/>
      <c r="AI306" s="197"/>
    </row>
    <row r="307" spans="1:35" ht="15">
      <c r="A307" s="197"/>
      <c r="B307" s="197"/>
      <c r="C307" s="197"/>
      <c r="D307" s="197"/>
      <c r="E307" s="197"/>
      <c r="F307" s="197"/>
      <c r="G307" s="197"/>
      <c r="H307" s="197"/>
      <c r="I307" s="197"/>
      <c r="J307" s="197"/>
      <c r="K307" s="197"/>
      <c r="L307" s="197"/>
      <c r="M307" s="197"/>
      <c r="N307" s="197"/>
      <c r="O307" s="197"/>
      <c r="P307" s="197"/>
      <c r="Q307" s="197"/>
      <c r="R307" s="197"/>
      <c r="S307" s="197"/>
      <c r="T307" s="197"/>
      <c r="U307" s="197"/>
      <c r="V307" s="197"/>
      <c r="W307" s="197"/>
      <c r="X307" s="197"/>
      <c r="Y307" s="197"/>
      <c r="Z307" s="197"/>
      <c r="AA307" s="197"/>
      <c r="AB307" s="197"/>
      <c r="AC307" s="197"/>
      <c r="AD307" s="197"/>
      <c r="AE307" s="197"/>
      <c r="AF307" s="197"/>
      <c r="AG307" s="197"/>
      <c r="AH307" s="197"/>
      <c r="AI307" s="197"/>
    </row>
    <row r="308" spans="1:35" ht="15">
      <c r="A308" s="197"/>
      <c r="B308" s="197"/>
      <c r="C308" s="197"/>
      <c r="D308" s="197"/>
      <c r="E308" s="197"/>
      <c r="F308" s="197"/>
      <c r="G308" s="197"/>
      <c r="H308" s="197"/>
      <c r="I308" s="197"/>
      <c r="J308" s="197"/>
      <c r="K308" s="197"/>
      <c r="L308" s="197"/>
      <c r="M308" s="197"/>
      <c r="N308" s="197"/>
      <c r="O308" s="197"/>
      <c r="P308" s="197"/>
      <c r="Q308" s="197"/>
      <c r="R308" s="197"/>
      <c r="S308" s="197"/>
      <c r="T308" s="197"/>
      <c r="U308" s="197"/>
      <c r="V308" s="197"/>
      <c r="W308" s="197"/>
      <c r="X308" s="197"/>
      <c r="Y308" s="197"/>
      <c r="Z308" s="197"/>
      <c r="AA308" s="197"/>
      <c r="AB308" s="197"/>
      <c r="AC308" s="197"/>
      <c r="AD308" s="197"/>
      <c r="AE308" s="197"/>
      <c r="AF308" s="197"/>
      <c r="AG308" s="197"/>
      <c r="AH308" s="197"/>
      <c r="AI308" s="197"/>
    </row>
    <row r="309" spans="1:35" ht="15">
      <c r="A309" s="197"/>
      <c r="B309" s="197"/>
      <c r="C309" s="197"/>
      <c r="D309" s="197"/>
      <c r="E309" s="197"/>
      <c r="F309" s="197"/>
      <c r="G309" s="197"/>
      <c r="H309" s="197"/>
      <c r="I309" s="197"/>
      <c r="J309" s="197"/>
      <c r="K309" s="197"/>
      <c r="L309" s="197"/>
      <c r="M309" s="197"/>
      <c r="N309" s="197"/>
      <c r="O309" s="197"/>
      <c r="P309" s="197"/>
      <c r="Q309" s="197"/>
      <c r="R309" s="197"/>
      <c r="S309" s="197"/>
      <c r="T309" s="197"/>
      <c r="U309" s="197"/>
      <c r="V309" s="197"/>
      <c r="W309" s="197"/>
      <c r="X309" s="197"/>
      <c r="Y309" s="197"/>
      <c r="Z309" s="197"/>
      <c r="AA309" s="197"/>
      <c r="AB309" s="197"/>
      <c r="AC309" s="197"/>
      <c r="AD309" s="197"/>
      <c r="AE309" s="197"/>
      <c r="AF309" s="197"/>
      <c r="AG309" s="197"/>
      <c r="AH309" s="197"/>
      <c r="AI309" s="197"/>
    </row>
    <row r="310" spans="1:35" ht="15">
      <c r="A310" s="197"/>
      <c r="B310" s="197"/>
      <c r="C310" s="197"/>
      <c r="D310" s="197"/>
      <c r="E310" s="197"/>
      <c r="F310" s="197"/>
      <c r="G310" s="197"/>
      <c r="H310" s="197"/>
      <c r="I310" s="197"/>
      <c r="J310" s="197"/>
      <c r="K310" s="197"/>
      <c r="L310" s="197"/>
      <c r="M310" s="197"/>
      <c r="N310" s="197"/>
      <c r="O310" s="197"/>
      <c r="P310" s="197"/>
      <c r="Q310" s="197"/>
      <c r="R310" s="197"/>
      <c r="S310" s="197"/>
      <c r="T310" s="197"/>
      <c r="U310" s="197"/>
      <c r="V310" s="197"/>
      <c r="W310" s="197"/>
      <c r="X310" s="197"/>
      <c r="Y310" s="197"/>
      <c r="Z310" s="197"/>
      <c r="AA310" s="197"/>
      <c r="AB310" s="197"/>
      <c r="AC310" s="197"/>
      <c r="AD310" s="197"/>
      <c r="AE310" s="197"/>
      <c r="AF310" s="197"/>
      <c r="AG310" s="197"/>
      <c r="AH310" s="197"/>
      <c r="AI310" s="197"/>
    </row>
    <row r="311" spans="1:35" ht="15">
      <c r="A311" s="197"/>
      <c r="B311" s="197"/>
      <c r="C311" s="197"/>
      <c r="D311" s="197"/>
      <c r="E311" s="197"/>
      <c r="F311" s="197"/>
      <c r="G311" s="197"/>
      <c r="H311" s="197"/>
      <c r="I311" s="197"/>
      <c r="J311" s="197"/>
      <c r="K311" s="197"/>
      <c r="L311" s="197"/>
      <c r="M311" s="197"/>
      <c r="N311" s="197"/>
      <c r="O311" s="197"/>
      <c r="P311" s="197"/>
      <c r="Q311" s="197"/>
      <c r="R311" s="197"/>
      <c r="S311" s="197"/>
      <c r="T311" s="197"/>
      <c r="U311" s="197"/>
      <c r="V311" s="197"/>
      <c r="W311" s="197"/>
      <c r="X311" s="197"/>
      <c r="Y311" s="197"/>
      <c r="Z311" s="197"/>
      <c r="AA311" s="197"/>
      <c r="AB311" s="197"/>
      <c r="AC311" s="197"/>
      <c r="AD311" s="197"/>
      <c r="AE311" s="197"/>
      <c r="AF311" s="197"/>
      <c r="AG311" s="197"/>
      <c r="AH311" s="197"/>
      <c r="AI311" s="197"/>
    </row>
    <row r="312" spans="1:35" ht="15">
      <c r="A312" s="197"/>
      <c r="B312" s="197"/>
      <c r="C312" s="197"/>
      <c r="D312" s="197"/>
      <c r="E312" s="197"/>
      <c r="F312" s="197"/>
      <c r="G312" s="197"/>
      <c r="H312" s="197"/>
      <c r="I312" s="197"/>
      <c r="J312" s="197"/>
      <c r="K312" s="197"/>
      <c r="L312" s="197"/>
      <c r="M312" s="197"/>
      <c r="N312" s="197"/>
      <c r="O312" s="197"/>
      <c r="P312" s="197"/>
      <c r="Q312" s="197"/>
      <c r="R312" s="197"/>
      <c r="S312" s="197"/>
      <c r="T312" s="197"/>
      <c r="U312" s="197"/>
      <c r="V312" s="197"/>
      <c r="W312" s="197"/>
      <c r="X312" s="197"/>
      <c r="Y312" s="197"/>
      <c r="Z312" s="197"/>
      <c r="AA312" s="197"/>
      <c r="AB312" s="197"/>
      <c r="AC312" s="197"/>
      <c r="AD312" s="197"/>
      <c r="AE312" s="197"/>
      <c r="AF312" s="197"/>
      <c r="AG312" s="197"/>
      <c r="AH312" s="197"/>
      <c r="AI312" s="197"/>
    </row>
    <row r="313" spans="1:35" ht="15">
      <c r="A313" s="197"/>
      <c r="B313" s="197"/>
      <c r="C313" s="197"/>
      <c r="D313" s="197"/>
      <c r="E313" s="197"/>
      <c r="F313" s="197"/>
      <c r="G313" s="197"/>
      <c r="H313" s="197"/>
      <c r="I313" s="197"/>
      <c r="J313" s="197"/>
      <c r="K313" s="197"/>
      <c r="L313" s="197"/>
      <c r="M313" s="197"/>
      <c r="N313" s="197"/>
      <c r="O313" s="197"/>
      <c r="P313" s="197"/>
      <c r="Q313" s="197"/>
      <c r="R313" s="197"/>
      <c r="S313" s="197"/>
      <c r="T313" s="197"/>
      <c r="U313" s="197"/>
      <c r="V313" s="197"/>
      <c r="W313" s="197"/>
      <c r="X313" s="197"/>
      <c r="Y313" s="197"/>
      <c r="Z313" s="197"/>
      <c r="AA313" s="197"/>
      <c r="AB313" s="197"/>
      <c r="AC313" s="197"/>
      <c r="AD313" s="197"/>
      <c r="AE313" s="197"/>
      <c r="AF313" s="197"/>
      <c r="AG313" s="197"/>
      <c r="AH313" s="197"/>
      <c r="AI313" s="197"/>
    </row>
    <row r="314" spans="1:35" ht="15">
      <c r="A314" s="197"/>
      <c r="B314" s="197"/>
      <c r="C314" s="197"/>
      <c r="D314" s="197"/>
      <c r="E314" s="197"/>
      <c r="F314" s="197"/>
      <c r="G314" s="197"/>
      <c r="H314" s="197"/>
      <c r="I314" s="197"/>
      <c r="J314" s="197"/>
      <c r="K314" s="197"/>
      <c r="L314" s="197"/>
      <c r="M314" s="197"/>
      <c r="N314" s="197"/>
      <c r="O314" s="197"/>
      <c r="P314" s="197"/>
      <c r="Q314" s="197"/>
      <c r="R314" s="197"/>
      <c r="S314" s="197"/>
      <c r="T314" s="197"/>
      <c r="U314" s="197"/>
      <c r="V314" s="197"/>
      <c r="W314" s="197"/>
      <c r="X314" s="197"/>
      <c r="Y314" s="197"/>
      <c r="Z314" s="197"/>
      <c r="AA314" s="197"/>
      <c r="AB314" s="197"/>
      <c r="AC314" s="197"/>
      <c r="AD314" s="197"/>
      <c r="AE314" s="197"/>
      <c r="AF314" s="197"/>
      <c r="AG314" s="197"/>
      <c r="AH314" s="197"/>
      <c r="AI314" s="197"/>
    </row>
    <row r="315" spans="1:35" ht="15">
      <c r="A315" s="197"/>
      <c r="B315" s="197"/>
      <c r="C315" s="197"/>
      <c r="D315" s="197"/>
      <c r="E315" s="197"/>
      <c r="F315" s="197"/>
      <c r="G315" s="197"/>
      <c r="H315" s="197"/>
      <c r="I315" s="197"/>
      <c r="J315" s="197"/>
      <c r="K315" s="197"/>
      <c r="L315" s="197"/>
      <c r="M315" s="197"/>
      <c r="N315" s="197"/>
      <c r="O315" s="197"/>
      <c r="P315" s="197"/>
      <c r="Q315" s="197"/>
      <c r="R315" s="197"/>
      <c r="S315" s="197"/>
      <c r="T315" s="197"/>
      <c r="U315" s="197"/>
      <c r="V315" s="197"/>
      <c r="W315" s="197"/>
      <c r="X315" s="197"/>
      <c r="Y315" s="197"/>
      <c r="Z315" s="197"/>
      <c r="AA315" s="197"/>
      <c r="AB315" s="197"/>
      <c r="AC315" s="197"/>
      <c r="AD315" s="197"/>
      <c r="AE315" s="197"/>
      <c r="AF315" s="197"/>
      <c r="AG315" s="197"/>
      <c r="AH315" s="197"/>
      <c r="AI315" s="197"/>
    </row>
    <row r="316" spans="1:35" ht="15">
      <c r="A316" s="197"/>
      <c r="B316" s="197"/>
      <c r="C316" s="197"/>
      <c r="D316" s="197"/>
      <c r="E316" s="197"/>
      <c r="F316" s="197"/>
      <c r="G316" s="197"/>
      <c r="H316" s="197"/>
      <c r="I316" s="197"/>
      <c r="J316" s="197"/>
      <c r="K316" s="197"/>
      <c r="L316" s="197"/>
      <c r="M316" s="197"/>
      <c r="N316" s="197"/>
      <c r="O316" s="197"/>
      <c r="P316" s="197"/>
      <c r="Q316" s="197"/>
      <c r="R316" s="197"/>
      <c r="S316" s="197"/>
      <c r="T316" s="197"/>
      <c r="U316" s="197"/>
      <c r="V316" s="197"/>
      <c r="W316" s="197"/>
      <c r="X316" s="197"/>
      <c r="Y316" s="197"/>
      <c r="Z316" s="197"/>
      <c r="AA316" s="197"/>
      <c r="AB316" s="197"/>
      <c r="AC316" s="197"/>
      <c r="AD316" s="197"/>
      <c r="AE316" s="197"/>
      <c r="AF316" s="197"/>
      <c r="AG316" s="197"/>
      <c r="AH316" s="197"/>
      <c r="AI316" s="197"/>
    </row>
    <row r="317" spans="1:35" ht="15">
      <c r="A317" s="197"/>
      <c r="B317" s="197"/>
      <c r="C317" s="197"/>
      <c r="D317" s="197"/>
      <c r="E317" s="197"/>
      <c r="F317" s="197"/>
      <c r="G317" s="197"/>
      <c r="H317" s="197"/>
      <c r="I317" s="197"/>
      <c r="J317" s="197"/>
      <c r="K317" s="197"/>
      <c r="L317" s="197"/>
      <c r="M317" s="197"/>
      <c r="N317" s="197"/>
      <c r="O317" s="197"/>
      <c r="P317" s="197"/>
      <c r="Q317" s="197"/>
      <c r="R317" s="197"/>
      <c r="S317" s="197"/>
      <c r="T317" s="197"/>
      <c r="U317" s="197"/>
      <c r="V317" s="197"/>
      <c r="W317" s="197"/>
      <c r="X317" s="197"/>
      <c r="Y317" s="197"/>
      <c r="Z317" s="197"/>
      <c r="AA317" s="197"/>
      <c r="AB317" s="197"/>
      <c r="AC317" s="197"/>
      <c r="AD317" s="197"/>
      <c r="AE317" s="197"/>
      <c r="AF317" s="197"/>
      <c r="AG317" s="197"/>
      <c r="AH317" s="197"/>
      <c r="AI317" s="197"/>
    </row>
    <row r="318" spans="1:35" ht="15">
      <c r="A318" s="197"/>
      <c r="B318" s="197"/>
      <c r="C318" s="197"/>
      <c r="D318" s="197"/>
      <c r="E318" s="197"/>
      <c r="F318" s="197"/>
      <c r="G318" s="197"/>
      <c r="H318" s="197"/>
      <c r="I318" s="197"/>
      <c r="J318" s="197"/>
      <c r="K318" s="197"/>
      <c r="L318" s="197"/>
      <c r="M318" s="197"/>
      <c r="N318" s="197"/>
      <c r="O318" s="197"/>
      <c r="P318" s="197"/>
      <c r="Q318" s="197"/>
      <c r="R318" s="197"/>
      <c r="S318" s="197"/>
      <c r="T318" s="197"/>
      <c r="U318" s="197"/>
      <c r="V318" s="197"/>
      <c r="W318" s="197"/>
      <c r="X318" s="197"/>
      <c r="Y318" s="197"/>
      <c r="Z318" s="197"/>
      <c r="AA318" s="197"/>
      <c r="AB318" s="197"/>
      <c r="AC318" s="197"/>
      <c r="AD318" s="197"/>
      <c r="AE318" s="197"/>
      <c r="AF318" s="197"/>
      <c r="AG318" s="197"/>
      <c r="AH318" s="197"/>
      <c r="AI318" s="197"/>
    </row>
    <row r="319" spans="1:35" ht="15">
      <c r="A319" s="197"/>
      <c r="B319" s="197"/>
      <c r="C319" s="197"/>
      <c r="D319" s="197"/>
      <c r="E319" s="197"/>
      <c r="F319" s="197"/>
      <c r="G319" s="197"/>
      <c r="H319" s="197"/>
      <c r="I319" s="197"/>
      <c r="J319" s="197"/>
      <c r="K319" s="197"/>
      <c r="L319" s="197"/>
      <c r="M319" s="197"/>
      <c r="N319" s="197"/>
      <c r="O319" s="197"/>
      <c r="P319" s="197"/>
      <c r="Q319" s="197"/>
      <c r="R319" s="197"/>
      <c r="S319" s="197"/>
      <c r="T319" s="197"/>
      <c r="U319" s="197"/>
      <c r="V319" s="197"/>
      <c r="W319" s="197"/>
      <c r="X319" s="197"/>
      <c r="Y319" s="197"/>
      <c r="Z319" s="197"/>
      <c r="AA319" s="197"/>
      <c r="AB319" s="197"/>
      <c r="AC319" s="197"/>
      <c r="AD319" s="197"/>
      <c r="AE319" s="197"/>
      <c r="AF319" s="197"/>
      <c r="AG319" s="197"/>
      <c r="AH319" s="197"/>
      <c r="AI319" s="197"/>
    </row>
  </sheetData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07"/>
  <sheetViews>
    <sheetView showZeros="0" workbookViewId="0" topLeftCell="A1">
      <selection activeCell="A7" sqref="A7"/>
    </sheetView>
  </sheetViews>
  <sheetFormatPr defaultColWidth="9.140625" defaultRowHeight="15"/>
  <cols>
    <col min="1" max="1" width="15.7109375" style="166" customWidth="1"/>
    <col min="2" max="3" width="19.57421875" style="166" customWidth="1"/>
    <col min="4" max="4" width="50.8515625" style="166" bestFit="1" customWidth="1"/>
    <col min="5" max="5" width="18.8515625" style="166" customWidth="1"/>
    <col min="6" max="6" width="18.421875" style="166" bestFit="1" customWidth="1"/>
    <col min="7" max="7" width="16.7109375" style="166" bestFit="1" customWidth="1"/>
    <col min="8" max="9" width="9.140625" style="5" customWidth="1"/>
    <col min="10" max="43" width="9.140625" style="166" customWidth="1"/>
    <col min="44" max="45" width="9.140625" style="5" customWidth="1"/>
    <col min="46" max="16384" width="9.140625" style="166" customWidth="1"/>
  </cols>
  <sheetData>
    <row r="1" spans="1:7" ht="21.75" customHeight="1">
      <c r="A1" s="7" t="s">
        <v>1000</v>
      </c>
      <c r="B1" s="7" t="s">
        <v>1</v>
      </c>
      <c r="C1" s="7" t="s">
        <v>1001</v>
      </c>
      <c r="D1" s="7" t="s">
        <v>1002</v>
      </c>
      <c r="E1" s="7" t="s">
        <v>1003</v>
      </c>
      <c r="F1" s="7" t="s">
        <v>2</v>
      </c>
      <c r="G1" s="7" t="s">
        <v>3</v>
      </c>
    </row>
    <row r="2" spans="1:7" ht="16.5" customHeight="1">
      <c r="A2" s="1" t="s">
        <v>433</v>
      </c>
      <c r="B2" s="1" t="s">
        <v>7</v>
      </c>
      <c r="C2" s="1"/>
      <c r="D2" s="1" t="s">
        <v>8</v>
      </c>
      <c r="E2" s="1" t="s">
        <v>6</v>
      </c>
      <c r="F2" s="1">
        <v>97.23883</v>
      </c>
      <c r="G2" s="1">
        <v>24.26072</v>
      </c>
    </row>
    <row r="3" spans="1:7" ht="16.5" customHeight="1">
      <c r="A3" s="1" t="s">
        <v>433</v>
      </c>
      <c r="B3" s="1" t="s">
        <v>7</v>
      </c>
      <c r="C3" s="1"/>
      <c r="D3" s="1" t="s">
        <v>18</v>
      </c>
      <c r="E3" s="1" t="s">
        <v>430</v>
      </c>
      <c r="F3" s="1"/>
      <c r="G3" s="1"/>
    </row>
    <row r="4" spans="1:7" ht="16.5" customHeight="1">
      <c r="A4" s="1" t="s">
        <v>433</v>
      </c>
      <c r="B4" s="1" t="s">
        <v>7</v>
      </c>
      <c r="C4" s="1"/>
      <c r="D4" s="1" t="s">
        <v>12</v>
      </c>
      <c r="E4" s="1" t="s">
        <v>11</v>
      </c>
      <c r="F4" s="1"/>
      <c r="G4" s="1"/>
    </row>
    <row r="5" spans="1:7" ht="16.5" customHeight="1">
      <c r="A5" s="1" t="s">
        <v>433</v>
      </c>
      <c r="B5" s="1" t="s">
        <v>7</v>
      </c>
      <c r="C5" s="1"/>
      <c r="D5" s="1" t="s">
        <v>14</v>
      </c>
      <c r="E5" s="1" t="s">
        <v>13</v>
      </c>
      <c r="F5" s="1"/>
      <c r="G5" s="1"/>
    </row>
    <row r="6" spans="1:7" ht="16.5" customHeight="1">
      <c r="A6" s="1" t="s">
        <v>433</v>
      </c>
      <c r="B6" s="1" t="s">
        <v>7</v>
      </c>
      <c r="C6" s="1"/>
      <c r="D6" s="1" t="s">
        <v>16</v>
      </c>
      <c r="E6" s="1" t="s">
        <v>15</v>
      </c>
      <c r="F6" s="1">
        <v>97.23692</v>
      </c>
      <c r="G6" s="1">
        <v>24.24766</v>
      </c>
    </row>
    <row r="7" spans="1:7" ht="16.5" customHeight="1">
      <c r="A7" s="1" t="s">
        <v>433</v>
      </c>
      <c r="B7" s="1" t="s">
        <v>7</v>
      </c>
      <c r="C7" s="1"/>
      <c r="D7" s="1" t="s">
        <v>18</v>
      </c>
      <c r="E7" s="1" t="s">
        <v>17</v>
      </c>
      <c r="F7" s="1"/>
      <c r="G7" s="1"/>
    </row>
    <row r="8" spans="1:7" ht="16.5" customHeight="1">
      <c r="A8" s="1" t="s">
        <v>433</v>
      </c>
      <c r="B8" s="1" t="s">
        <v>7</v>
      </c>
      <c r="C8" s="1"/>
      <c r="D8" s="1" t="s">
        <v>20</v>
      </c>
      <c r="E8" s="1" t="s">
        <v>19</v>
      </c>
      <c r="F8" s="1">
        <v>97.24163</v>
      </c>
      <c r="G8" s="1">
        <v>24.26611</v>
      </c>
    </row>
    <row r="9" spans="1:7" ht="16.5" customHeight="1">
      <c r="A9" s="1" t="s">
        <v>433</v>
      </c>
      <c r="B9" s="1" t="s">
        <v>7</v>
      </c>
      <c r="C9" s="1"/>
      <c r="D9" s="1" t="s">
        <v>10</v>
      </c>
      <c r="E9" s="1" t="s">
        <v>9</v>
      </c>
      <c r="F9" s="1"/>
      <c r="G9" s="1"/>
    </row>
    <row r="10" spans="1:7" ht="16.5" customHeight="1">
      <c r="A10" s="1" t="s">
        <v>433</v>
      </c>
      <c r="B10" s="1" t="s">
        <v>7</v>
      </c>
      <c r="C10" s="1"/>
      <c r="D10" s="1" t="s">
        <v>22</v>
      </c>
      <c r="E10" s="1" t="s">
        <v>21</v>
      </c>
      <c r="F10" s="1">
        <v>97.31586</v>
      </c>
      <c r="G10" s="1">
        <v>24.32638</v>
      </c>
    </row>
    <row r="11" spans="1:7" ht="16.5" customHeight="1">
      <c r="A11" s="1" t="s">
        <v>433</v>
      </c>
      <c r="B11" s="1" t="s">
        <v>7</v>
      </c>
      <c r="C11" s="1"/>
      <c r="D11" s="1" t="s">
        <v>417</v>
      </c>
      <c r="E11" s="1" t="s">
        <v>429</v>
      </c>
      <c r="F11" s="1"/>
      <c r="G11" s="1"/>
    </row>
    <row r="12" spans="1:7" ht="16.5" customHeight="1">
      <c r="A12" s="1" t="s">
        <v>433</v>
      </c>
      <c r="B12" s="1" t="s">
        <v>7</v>
      </c>
      <c r="C12" s="1"/>
      <c r="D12" s="1" t="s">
        <v>24</v>
      </c>
      <c r="E12" s="1" t="s">
        <v>23</v>
      </c>
      <c r="F12" s="1">
        <v>97.22877</v>
      </c>
      <c r="G12" s="1">
        <v>24.26502</v>
      </c>
    </row>
    <row r="13" spans="1:7" ht="16.5" customHeight="1">
      <c r="A13" s="1" t="s">
        <v>433</v>
      </c>
      <c r="B13" s="1" t="s">
        <v>7</v>
      </c>
      <c r="C13" s="1"/>
      <c r="D13" s="1" t="s">
        <v>26</v>
      </c>
      <c r="E13" s="1" t="s">
        <v>25</v>
      </c>
      <c r="F13" s="1">
        <v>97.22779</v>
      </c>
      <c r="G13" s="1">
        <v>24.29138</v>
      </c>
    </row>
    <row r="14" spans="1:45" ht="15">
      <c r="A14" s="1" t="s">
        <v>433</v>
      </c>
      <c r="B14" s="1" t="s">
        <v>7</v>
      </c>
      <c r="C14" s="1"/>
      <c r="D14" s="1" t="s">
        <v>28</v>
      </c>
      <c r="E14" s="1" t="s">
        <v>27</v>
      </c>
      <c r="F14" s="1">
        <v>97.24064</v>
      </c>
      <c r="G14" s="1">
        <v>24.24953</v>
      </c>
      <c r="H14" s="166"/>
      <c r="I14" s="166"/>
      <c r="AR14" s="166"/>
      <c r="AS14" s="166"/>
    </row>
    <row r="15" spans="1:45" ht="15">
      <c r="A15" s="1" t="s">
        <v>433</v>
      </c>
      <c r="B15" s="1" t="s">
        <v>376</v>
      </c>
      <c r="C15" s="1"/>
      <c r="D15" s="1" t="s">
        <v>375</v>
      </c>
      <c r="E15" s="1" t="s">
        <v>374</v>
      </c>
      <c r="F15" s="1"/>
      <c r="G15" s="1"/>
      <c r="H15" s="166"/>
      <c r="I15" s="166"/>
      <c r="AR15" s="166"/>
      <c r="AS15" s="166"/>
    </row>
    <row r="16" spans="1:45" ht="15">
      <c r="A16" s="1" t="s">
        <v>433</v>
      </c>
      <c r="B16" s="1" t="s">
        <v>376</v>
      </c>
      <c r="C16" s="1"/>
      <c r="D16" s="1" t="s">
        <v>378</v>
      </c>
      <c r="E16" s="1" t="s">
        <v>377</v>
      </c>
      <c r="F16" s="1"/>
      <c r="G16" s="1"/>
      <c r="H16" s="166"/>
      <c r="I16" s="166"/>
      <c r="AR16" s="166"/>
      <c r="AS16" s="166"/>
    </row>
    <row r="17" spans="1:45" ht="15">
      <c r="A17" s="1" t="s">
        <v>433</v>
      </c>
      <c r="B17" s="1" t="s">
        <v>376</v>
      </c>
      <c r="C17" s="1"/>
      <c r="D17" s="1" t="s">
        <v>400</v>
      </c>
      <c r="E17" s="1" t="s">
        <v>399</v>
      </c>
      <c r="F17" s="1">
        <v>97.601944</v>
      </c>
      <c r="G17" s="1">
        <v>23.947222</v>
      </c>
      <c r="H17" s="166"/>
      <c r="I17" s="166"/>
      <c r="AR17" s="166"/>
      <c r="AS17" s="166"/>
    </row>
    <row r="18" spans="1:45" ht="15">
      <c r="A18" s="1" t="s">
        <v>433</v>
      </c>
      <c r="B18" s="1" t="s">
        <v>376</v>
      </c>
      <c r="C18" s="1"/>
      <c r="D18" s="1" t="s">
        <v>402</v>
      </c>
      <c r="E18" s="1" t="s">
        <v>401</v>
      </c>
      <c r="F18" s="1">
        <v>97.528893</v>
      </c>
      <c r="G18" s="1">
        <v>23.930279</v>
      </c>
      <c r="H18" s="166"/>
      <c r="I18" s="166"/>
      <c r="AR18" s="166"/>
      <c r="AS18" s="166"/>
    </row>
    <row r="19" spans="1:45" ht="15">
      <c r="A19" s="1" t="s">
        <v>433</v>
      </c>
      <c r="B19" s="1" t="s">
        <v>376</v>
      </c>
      <c r="C19" s="1"/>
      <c r="D19" s="1" t="s">
        <v>380</v>
      </c>
      <c r="E19" s="1" t="s">
        <v>379</v>
      </c>
      <c r="F19" s="1">
        <v>98.475539</v>
      </c>
      <c r="G19" s="1">
        <v>25.751728</v>
      </c>
      <c r="H19" s="166"/>
      <c r="I19" s="166"/>
      <c r="AR19" s="166"/>
      <c r="AS19" s="166"/>
    </row>
    <row r="20" spans="1:45" ht="15">
      <c r="A20" s="1" t="s">
        <v>433</v>
      </c>
      <c r="B20" s="1" t="s">
        <v>376</v>
      </c>
      <c r="C20" s="1"/>
      <c r="D20" s="1" t="s">
        <v>382</v>
      </c>
      <c r="E20" s="1" t="s">
        <v>381</v>
      </c>
      <c r="F20" s="1">
        <v>98.441765</v>
      </c>
      <c r="G20" s="1">
        <v>25.634278</v>
      </c>
      <c r="H20" s="166"/>
      <c r="I20" s="166"/>
      <c r="AR20" s="166"/>
      <c r="AS20" s="166"/>
    </row>
    <row r="21" spans="1:45" ht="15">
      <c r="A21" s="1" t="s">
        <v>433</v>
      </c>
      <c r="B21" s="1" t="s">
        <v>376</v>
      </c>
      <c r="C21" s="1"/>
      <c r="D21" s="1" t="s">
        <v>384</v>
      </c>
      <c r="E21" s="1" t="s">
        <v>383</v>
      </c>
      <c r="F21" s="1"/>
      <c r="G21" s="1"/>
      <c r="H21" s="166"/>
      <c r="I21" s="166"/>
      <c r="AR21" s="166"/>
      <c r="AS21" s="166"/>
    </row>
    <row r="22" spans="1:45" ht="15">
      <c r="A22" s="1" t="s">
        <v>433</v>
      </c>
      <c r="B22" s="1" t="s">
        <v>376</v>
      </c>
      <c r="C22" s="1"/>
      <c r="D22" s="1" t="s">
        <v>386</v>
      </c>
      <c r="E22" s="1" t="s">
        <v>385</v>
      </c>
      <c r="F22" s="1">
        <v>97.742414</v>
      </c>
      <c r="G22" s="1">
        <v>24.205617</v>
      </c>
      <c r="H22" s="166"/>
      <c r="I22" s="166"/>
      <c r="AR22" s="166"/>
      <c r="AS22" s="166"/>
    </row>
    <row r="23" spans="1:45" ht="15">
      <c r="A23" s="1" t="s">
        <v>433</v>
      </c>
      <c r="B23" s="1" t="s">
        <v>376</v>
      </c>
      <c r="C23" s="1"/>
      <c r="D23" s="1" t="s">
        <v>414</v>
      </c>
      <c r="E23" s="1" t="s">
        <v>413</v>
      </c>
      <c r="F23" s="1">
        <v>98.444548</v>
      </c>
      <c r="G23" s="1">
        <v>25.68412</v>
      </c>
      <c r="H23" s="166"/>
      <c r="I23" s="166"/>
      <c r="AR23" s="166"/>
      <c r="AS23" s="166"/>
    </row>
    <row r="24" spans="1:45" ht="15">
      <c r="A24" s="1" t="s">
        <v>433</v>
      </c>
      <c r="B24" s="1" t="s">
        <v>376</v>
      </c>
      <c r="C24" s="1"/>
      <c r="D24" s="1" t="s">
        <v>388</v>
      </c>
      <c r="E24" s="1" t="s">
        <v>387</v>
      </c>
      <c r="F24" s="1"/>
      <c r="G24" s="1"/>
      <c r="H24" s="166"/>
      <c r="I24" s="166"/>
      <c r="AR24" s="166"/>
      <c r="AS24" s="166"/>
    </row>
    <row r="25" spans="1:45" ht="15">
      <c r="A25" s="1" t="s">
        <v>433</v>
      </c>
      <c r="B25" s="1" t="s">
        <v>376</v>
      </c>
      <c r="C25" s="1"/>
      <c r="D25" s="1" t="s">
        <v>404</v>
      </c>
      <c r="E25" s="1" t="s">
        <v>403</v>
      </c>
      <c r="F25" s="1">
        <v>97.631943</v>
      </c>
      <c r="G25" s="1">
        <v>23.90361</v>
      </c>
      <c r="H25" s="166"/>
      <c r="I25" s="166"/>
      <c r="AR25" s="166"/>
      <c r="AS25" s="166"/>
    </row>
    <row r="26" spans="1:45" ht="15">
      <c r="A26" s="1" t="s">
        <v>433</v>
      </c>
      <c r="B26" s="1" t="s">
        <v>376</v>
      </c>
      <c r="C26" s="1"/>
      <c r="D26" s="1" t="s">
        <v>406</v>
      </c>
      <c r="E26" s="1" t="s">
        <v>405</v>
      </c>
      <c r="F26" s="1">
        <v>97.587219</v>
      </c>
      <c r="G26" s="1">
        <v>23.909166</v>
      </c>
      <c r="H26" s="166"/>
      <c r="I26" s="166"/>
      <c r="AR26" s="166"/>
      <c r="AS26" s="166"/>
    </row>
    <row r="27" spans="1:45" ht="15">
      <c r="A27" s="1" t="s">
        <v>433</v>
      </c>
      <c r="B27" s="1" t="s">
        <v>376</v>
      </c>
      <c r="C27" s="1"/>
      <c r="D27" s="1" t="s">
        <v>390</v>
      </c>
      <c r="E27" s="1" t="s">
        <v>389</v>
      </c>
      <c r="F27" s="1"/>
      <c r="G27" s="1"/>
      <c r="H27" s="166"/>
      <c r="I27" s="166"/>
      <c r="AR27" s="166"/>
      <c r="AS27" s="166"/>
    </row>
    <row r="28" spans="1:45" ht="15">
      <c r="A28" s="1" t="s">
        <v>433</v>
      </c>
      <c r="B28" s="1" t="s">
        <v>376</v>
      </c>
      <c r="C28" s="1"/>
      <c r="D28" s="1" t="s">
        <v>408</v>
      </c>
      <c r="E28" s="1" t="s">
        <v>407</v>
      </c>
      <c r="F28" s="1">
        <v>97.570274</v>
      </c>
      <c r="G28" s="1">
        <v>23.977222</v>
      </c>
      <c r="H28" s="166"/>
      <c r="I28" s="166"/>
      <c r="AR28" s="166"/>
      <c r="AS28" s="166"/>
    </row>
    <row r="29" spans="1:45" ht="15">
      <c r="A29" s="1" t="s">
        <v>433</v>
      </c>
      <c r="B29" s="1" t="s">
        <v>376</v>
      </c>
      <c r="C29" s="1"/>
      <c r="D29" s="1" t="s">
        <v>392</v>
      </c>
      <c r="E29" s="1" t="s">
        <v>391</v>
      </c>
      <c r="F29" s="1">
        <v>97.792427</v>
      </c>
      <c r="G29" s="1">
        <v>25.161771</v>
      </c>
      <c r="H29" s="166"/>
      <c r="I29" s="166"/>
      <c r="AR29" s="166"/>
      <c r="AS29" s="166"/>
    </row>
    <row r="30" spans="1:45" ht="15">
      <c r="A30" s="1" t="s">
        <v>433</v>
      </c>
      <c r="B30" s="1" t="s">
        <v>376</v>
      </c>
      <c r="C30" s="1"/>
      <c r="D30" s="1" t="s">
        <v>394</v>
      </c>
      <c r="E30" s="1" t="s">
        <v>393</v>
      </c>
      <c r="F30" s="1"/>
      <c r="G30" s="1"/>
      <c r="H30" s="166"/>
      <c r="I30" s="166"/>
      <c r="AR30" s="166"/>
      <c r="AS30" s="166"/>
    </row>
    <row r="31" spans="1:45" ht="15">
      <c r="A31" s="1" t="s">
        <v>433</v>
      </c>
      <c r="B31" s="1" t="s">
        <v>376</v>
      </c>
      <c r="C31" s="1"/>
      <c r="D31" s="1" t="s">
        <v>396</v>
      </c>
      <c r="E31" s="1" t="s">
        <v>395</v>
      </c>
      <c r="F31" s="1">
        <v>97.620003</v>
      </c>
      <c r="G31" s="1">
        <v>23.899721</v>
      </c>
      <c r="H31" s="166"/>
      <c r="I31" s="166"/>
      <c r="AR31" s="166"/>
      <c r="AS31" s="166"/>
    </row>
    <row r="32" spans="1:45" ht="15">
      <c r="A32" s="1" t="s">
        <v>433</v>
      </c>
      <c r="B32" s="1" t="s">
        <v>376</v>
      </c>
      <c r="C32" s="1"/>
      <c r="D32" s="1" t="s">
        <v>410</v>
      </c>
      <c r="E32" s="1" t="s">
        <v>409</v>
      </c>
      <c r="F32" s="1">
        <v>97.624725</v>
      </c>
      <c r="G32" s="1">
        <v>23.888332</v>
      </c>
      <c r="H32" s="166"/>
      <c r="I32" s="166"/>
      <c r="AR32" s="166"/>
      <c r="AS32" s="166"/>
    </row>
    <row r="33" spans="1:45" ht="15">
      <c r="A33" s="1" t="s">
        <v>433</v>
      </c>
      <c r="B33" s="1" t="s">
        <v>29</v>
      </c>
      <c r="C33" s="1"/>
      <c r="D33" s="1" t="s">
        <v>30</v>
      </c>
      <c r="E33" s="1" t="s">
        <v>32</v>
      </c>
      <c r="F33" s="1"/>
      <c r="G33" s="1"/>
      <c r="H33" s="166"/>
      <c r="I33" s="166"/>
      <c r="AR33" s="166"/>
      <c r="AS33" s="166"/>
    </row>
    <row r="34" spans="1:45" ht="15">
      <c r="A34" s="1" t="s">
        <v>433</v>
      </c>
      <c r="B34" s="1" t="s">
        <v>29</v>
      </c>
      <c r="C34" s="1"/>
      <c r="D34" s="1" t="s">
        <v>34</v>
      </c>
      <c r="E34" s="1" t="s">
        <v>33</v>
      </c>
      <c r="F34" s="1"/>
      <c r="G34" s="1"/>
      <c r="H34" s="166"/>
      <c r="I34" s="166"/>
      <c r="AR34" s="166"/>
      <c r="AS34" s="166"/>
    </row>
    <row r="35" spans="1:45" ht="15">
      <c r="A35" s="1" t="s">
        <v>433</v>
      </c>
      <c r="B35" s="1" t="s">
        <v>29</v>
      </c>
      <c r="C35" s="1"/>
      <c r="D35" s="1" t="s">
        <v>415</v>
      </c>
      <c r="E35" s="1" t="s">
        <v>31</v>
      </c>
      <c r="F35" s="1"/>
      <c r="G35" s="1"/>
      <c r="H35" s="166"/>
      <c r="I35" s="166"/>
      <c r="AR35" s="166"/>
      <c r="AS35" s="166"/>
    </row>
    <row r="36" spans="1:45" ht="15">
      <c r="A36" s="1" t="s">
        <v>433</v>
      </c>
      <c r="B36" s="1" t="s">
        <v>29</v>
      </c>
      <c r="C36" s="1"/>
      <c r="D36" s="1" t="s">
        <v>36</v>
      </c>
      <c r="E36" s="1" t="s">
        <v>35</v>
      </c>
      <c r="F36" s="1">
        <v>98.354147</v>
      </c>
      <c r="G36" s="1">
        <v>25.708763</v>
      </c>
      <c r="H36" s="166"/>
      <c r="I36" s="166"/>
      <c r="AR36" s="166"/>
      <c r="AS36" s="166"/>
    </row>
    <row r="37" spans="1:45" ht="15">
      <c r="A37" s="1" t="s">
        <v>433</v>
      </c>
      <c r="B37" s="1" t="s">
        <v>29</v>
      </c>
      <c r="C37" s="1"/>
      <c r="D37" s="1" t="s">
        <v>416</v>
      </c>
      <c r="E37" s="1" t="s">
        <v>431</v>
      </c>
      <c r="F37" s="1"/>
      <c r="G37" s="1"/>
      <c r="H37" s="166"/>
      <c r="I37" s="166"/>
      <c r="AR37" s="166"/>
      <c r="AS37" s="166"/>
    </row>
    <row r="38" spans="1:45" ht="15">
      <c r="A38" s="1" t="s">
        <v>433</v>
      </c>
      <c r="B38" s="1" t="s">
        <v>29</v>
      </c>
      <c r="C38" s="1"/>
      <c r="D38" s="1" t="s">
        <v>39</v>
      </c>
      <c r="E38" s="1" t="s">
        <v>38</v>
      </c>
      <c r="F38" s="1"/>
      <c r="G38" s="1"/>
      <c r="H38" s="166"/>
      <c r="I38" s="166"/>
      <c r="AR38" s="166"/>
      <c r="AS38" s="166"/>
    </row>
    <row r="39" spans="1:45" ht="15">
      <c r="A39" s="1" t="s">
        <v>433</v>
      </c>
      <c r="B39" s="1" t="s">
        <v>41</v>
      </c>
      <c r="C39" s="1"/>
      <c r="D39" s="1" t="s">
        <v>132</v>
      </c>
      <c r="E39" s="1" t="s">
        <v>131</v>
      </c>
      <c r="F39" s="1">
        <v>96.35955</v>
      </c>
      <c r="G39" s="1">
        <v>25.65865</v>
      </c>
      <c r="H39" s="166"/>
      <c r="I39" s="166"/>
      <c r="AR39" s="166"/>
      <c r="AS39" s="166"/>
    </row>
    <row r="40" spans="1:45" ht="15">
      <c r="A40" s="1" t="s">
        <v>433</v>
      </c>
      <c r="B40" s="1" t="s">
        <v>41</v>
      </c>
      <c r="C40" s="1"/>
      <c r="D40" s="1" t="s">
        <v>66</v>
      </c>
      <c r="E40" s="1" t="s">
        <v>65</v>
      </c>
      <c r="F40" s="1">
        <v>96.35527</v>
      </c>
      <c r="G40" s="1">
        <v>25.65613</v>
      </c>
      <c r="H40" s="166"/>
      <c r="I40" s="166"/>
      <c r="AR40" s="166"/>
      <c r="AS40" s="166"/>
    </row>
    <row r="41" spans="1:45" ht="15">
      <c r="A41" s="1" t="s">
        <v>433</v>
      </c>
      <c r="B41" s="1" t="s">
        <v>41</v>
      </c>
      <c r="C41" s="1"/>
      <c r="D41" s="1" t="s">
        <v>124</v>
      </c>
      <c r="E41" s="1" t="s">
        <v>123</v>
      </c>
      <c r="F41" s="1">
        <v>96.35307</v>
      </c>
      <c r="G41" s="1">
        <v>25.65582</v>
      </c>
      <c r="H41" s="166"/>
      <c r="I41" s="166"/>
      <c r="AR41" s="166"/>
      <c r="AS41" s="166"/>
    </row>
    <row r="42" spans="1:45" ht="15">
      <c r="A42" s="1" t="s">
        <v>433</v>
      </c>
      <c r="B42" s="1" t="s">
        <v>41</v>
      </c>
      <c r="C42" s="1"/>
      <c r="D42" s="1" t="s">
        <v>44</v>
      </c>
      <c r="E42" s="1" t="s">
        <v>43</v>
      </c>
      <c r="F42" s="1">
        <v>96.34557</v>
      </c>
      <c r="G42" s="1">
        <v>25.6353</v>
      </c>
      <c r="H42" s="166"/>
      <c r="I42" s="166"/>
      <c r="AR42" s="166"/>
      <c r="AS42" s="166"/>
    </row>
    <row r="43" spans="1:45" ht="15">
      <c r="A43" s="1" t="s">
        <v>433</v>
      </c>
      <c r="B43" s="1" t="s">
        <v>41</v>
      </c>
      <c r="C43" s="1"/>
      <c r="D43" s="1" t="s">
        <v>46</v>
      </c>
      <c r="E43" s="1" t="s">
        <v>45</v>
      </c>
      <c r="F43" s="1"/>
      <c r="G43" s="1"/>
      <c r="H43" s="166"/>
      <c r="I43" s="166"/>
      <c r="AR43" s="166"/>
      <c r="AS43" s="166"/>
    </row>
    <row r="44" spans="1:45" ht="15">
      <c r="A44" s="1" t="s">
        <v>433</v>
      </c>
      <c r="B44" s="1" t="s">
        <v>41</v>
      </c>
      <c r="C44" s="1"/>
      <c r="D44" s="1" t="s">
        <v>42</v>
      </c>
      <c r="E44" s="1" t="s">
        <v>40</v>
      </c>
      <c r="F44" s="1"/>
      <c r="G44" s="1"/>
      <c r="H44" s="166"/>
      <c r="I44" s="166"/>
      <c r="AR44" s="166"/>
      <c r="AS44" s="166"/>
    </row>
    <row r="45" spans="1:45" ht="15">
      <c r="A45" s="1" t="s">
        <v>433</v>
      </c>
      <c r="B45" s="1" t="s">
        <v>41</v>
      </c>
      <c r="C45" s="1"/>
      <c r="D45" s="1" t="s">
        <v>50</v>
      </c>
      <c r="E45" s="1" t="s">
        <v>49</v>
      </c>
      <c r="F45" s="1"/>
      <c r="G45" s="1"/>
      <c r="H45" s="166"/>
      <c r="I45" s="166"/>
      <c r="AR45" s="166"/>
      <c r="AS45" s="166"/>
    </row>
    <row r="46" spans="1:45" ht="15">
      <c r="A46" s="1" t="s">
        <v>433</v>
      </c>
      <c r="B46" s="1" t="s">
        <v>41</v>
      </c>
      <c r="C46" s="1"/>
      <c r="D46" s="1" t="s">
        <v>52</v>
      </c>
      <c r="E46" s="1" t="s">
        <v>51</v>
      </c>
      <c r="F46" s="1">
        <v>96.33987</v>
      </c>
      <c r="G46" s="1">
        <v>25.65599</v>
      </c>
      <c r="H46" s="166"/>
      <c r="I46" s="166"/>
      <c r="AR46" s="166"/>
      <c r="AS46" s="166"/>
    </row>
    <row r="47" spans="1:45" ht="15">
      <c r="A47" s="1" t="s">
        <v>433</v>
      </c>
      <c r="B47" s="1" t="s">
        <v>41</v>
      </c>
      <c r="C47" s="1"/>
      <c r="D47" s="1" t="s">
        <v>54</v>
      </c>
      <c r="E47" s="1" t="s">
        <v>53</v>
      </c>
      <c r="F47" s="1"/>
      <c r="G47" s="1"/>
      <c r="H47" s="166"/>
      <c r="I47" s="166"/>
      <c r="AR47" s="166"/>
      <c r="AS47" s="166"/>
    </row>
    <row r="48" spans="1:45" ht="15">
      <c r="A48" s="1" t="s">
        <v>433</v>
      </c>
      <c r="B48" s="1" t="s">
        <v>41</v>
      </c>
      <c r="C48" s="1"/>
      <c r="D48" s="1" t="s">
        <v>56</v>
      </c>
      <c r="E48" s="1" t="s">
        <v>55</v>
      </c>
      <c r="F48" s="1">
        <v>96.34647</v>
      </c>
      <c r="G48" s="1">
        <v>25.64765</v>
      </c>
      <c r="H48" s="166"/>
      <c r="I48" s="166"/>
      <c r="AR48" s="166"/>
      <c r="AS48" s="166"/>
    </row>
    <row r="49" spans="1:45" ht="15">
      <c r="A49" s="1" t="s">
        <v>433</v>
      </c>
      <c r="B49" s="1" t="s">
        <v>41</v>
      </c>
      <c r="C49" s="1"/>
      <c r="D49" s="1" t="s">
        <v>62</v>
      </c>
      <c r="E49" s="1" t="s">
        <v>61</v>
      </c>
      <c r="F49" s="1"/>
      <c r="G49" s="1"/>
      <c r="H49" s="166"/>
      <c r="I49" s="166"/>
      <c r="AR49" s="166"/>
      <c r="AS49" s="166"/>
    </row>
    <row r="50" spans="1:45" ht="15">
      <c r="A50" s="1" t="s">
        <v>433</v>
      </c>
      <c r="B50" s="1" t="s">
        <v>41</v>
      </c>
      <c r="C50" s="1"/>
      <c r="D50" s="1" t="s">
        <v>64</v>
      </c>
      <c r="E50" s="1" t="s">
        <v>63</v>
      </c>
      <c r="F50" s="1"/>
      <c r="G50" s="1"/>
      <c r="H50" s="166"/>
      <c r="I50" s="166"/>
      <c r="AR50" s="166"/>
      <c r="AS50" s="166"/>
    </row>
    <row r="51" spans="1:45" ht="15">
      <c r="A51" s="1" t="s">
        <v>433</v>
      </c>
      <c r="B51" s="1" t="s">
        <v>41</v>
      </c>
      <c r="C51" s="1"/>
      <c r="D51" s="1" t="s">
        <v>76</v>
      </c>
      <c r="E51" s="1" t="s">
        <v>75</v>
      </c>
      <c r="F51" s="1"/>
      <c r="G51" s="1"/>
      <c r="H51" s="166"/>
      <c r="I51" s="166"/>
      <c r="AR51" s="166"/>
      <c r="AS51" s="166"/>
    </row>
    <row r="52" spans="1:45" ht="15">
      <c r="A52" s="1" t="s">
        <v>433</v>
      </c>
      <c r="B52" s="1" t="s">
        <v>41</v>
      </c>
      <c r="C52" s="1"/>
      <c r="D52" s="1" t="s">
        <v>74</v>
      </c>
      <c r="E52" s="1" t="s">
        <v>73</v>
      </c>
      <c r="F52" s="1"/>
      <c r="G52" s="1"/>
      <c r="H52" s="166"/>
      <c r="I52" s="166"/>
      <c r="AR52" s="166"/>
      <c r="AS52" s="166"/>
    </row>
    <row r="53" spans="1:45" ht="15">
      <c r="A53" s="1" t="s">
        <v>433</v>
      </c>
      <c r="B53" s="1" t="s">
        <v>41</v>
      </c>
      <c r="C53" s="1"/>
      <c r="D53" s="1" t="s">
        <v>80</v>
      </c>
      <c r="E53" s="1" t="s">
        <v>79</v>
      </c>
      <c r="F53" s="1">
        <v>96.35493</v>
      </c>
      <c r="G53" s="1">
        <v>25.64309</v>
      </c>
      <c r="H53" s="166"/>
      <c r="I53" s="166"/>
      <c r="AR53" s="166"/>
      <c r="AS53" s="166"/>
    </row>
    <row r="54" spans="1:45" ht="15">
      <c r="A54" s="1" t="s">
        <v>433</v>
      </c>
      <c r="B54" s="1" t="s">
        <v>41</v>
      </c>
      <c r="C54" s="1"/>
      <c r="D54" s="1" t="s">
        <v>82</v>
      </c>
      <c r="E54" s="1" t="s">
        <v>81</v>
      </c>
      <c r="F54" s="1"/>
      <c r="G54" s="1"/>
      <c r="H54" s="166"/>
      <c r="I54" s="166"/>
      <c r="AR54" s="166"/>
      <c r="AS54" s="166"/>
    </row>
    <row r="55" spans="1:45" ht="15">
      <c r="A55" s="1" t="s">
        <v>433</v>
      </c>
      <c r="B55" s="1" t="s">
        <v>41</v>
      </c>
      <c r="C55" s="1"/>
      <c r="D55" s="1" t="s">
        <v>86</v>
      </c>
      <c r="E55" s="1" t="s">
        <v>85</v>
      </c>
      <c r="F55" s="1"/>
      <c r="G55" s="1"/>
      <c r="H55" s="166"/>
      <c r="I55" s="166"/>
      <c r="AR55" s="166"/>
      <c r="AS55" s="166"/>
    </row>
    <row r="56" spans="1:45" ht="15">
      <c r="A56" s="1" t="s">
        <v>433</v>
      </c>
      <c r="B56" s="1" t="s">
        <v>41</v>
      </c>
      <c r="C56" s="1"/>
      <c r="D56" s="1" t="s">
        <v>92</v>
      </c>
      <c r="E56" s="1" t="s">
        <v>91</v>
      </c>
      <c r="F56" s="1">
        <v>96.70596</v>
      </c>
      <c r="G56" s="1">
        <v>25.51352</v>
      </c>
      <c r="H56" s="166"/>
      <c r="I56" s="166"/>
      <c r="AR56" s="166"/>
      <c r="AS56" s="166"/>
    </row>
    <row r="57" spans="1:45" ht="15">
      <c r="A57" s="1" t="s">
        <v>433</v>
      </c>
      <c r="B57" s="1" t="s">
        <v>41</v>
      </c>
      <c r="C57" s="1"/>
      <c r="D57" s="1" t="s">
        <v>47</v>
      </c>
      <c r="E57" s="1" t="s">
        <v>48</v>
      </c>
      <c r="F57" s="1"/>
      <c r="G57" s="1"/>
      <c r="H57" s="166"/>
      <c r="I57" s="166"/>
      <c r="AR57" s="166"/>
      <c r="AS57" s="166"/>
    </row>
    <row r="58" spans="1:45" ht="15">
      <c r="A58" s="1" t="s">
        <v>433</v>
      </c>
      <c r="B58" s="1" t="s">
        <v>41</v>
      </c>
      <c r="C58" s="1"/>
      <c r="D58" s="1" t="s">
        <v>60</v>
      </c>
      <c r="E58" s="1" t="s">
        <v>59</v>
      </c>
      <c r="F58" s="1"/>
      <c r="G58" s="1"/>
      <c r="H58" s="166"/>
      <c r="I58" s="166"/>
      <c r="AR58" s="166"/>
      <c r="AS58" s="166"/>
    </row>
    <row r="59" spans="1:45" ht="15">
      <c r="A59" s="1" t="s">
        <v>433</v>
      </c>
      <c r="B59" s="1" t="s">
        <v>41</v>
      </c>
      <c r="C59" s="1"/>
      <c r="D59" s="1" t="s">
        <v>94</v>
      </c>
      <c r="E59" s="1" t="s">
        <v>93</v>
      </c>
      <c r="F59" s="1"/>
      <c r="G59" s="1"/>
      <c r="H59" s="166"/>
      <c r="I59" s="166"/>
      <c r="AR59" s="166"/>
      <c r="AS59" s="166"/>
    </row>
    <row r="60" spans="1:45" ht="15">
      <c r="A60" s="1" t="s">
        <v>433</v>
      </c>
      <c r="B60" s="1" t="s">
        <v>41</v>
      </c>
      <c r="C60" s="1"/>
      <c r="D60" s="1" t="s">
        <v>96</v>
      </c>
      <c r="E60" s="1" t="s">
        <v>95</v>
      </c>
      <c r="F60" s="1">
        <v>96.3164</v>
      </c>
      <c r="G60" s="1">
        <v>25.61842</v>
      </c>
      <c r="H60" s="166"/>
      <c r="I60" s="166"/>
      <c r="AR60" s="166"/>
      <c r="AS60" s="166"/>
    </row>
    <row r="61" spans="1:45" ht="15">
      <c r="A61" s="1" t="s">
        <v>433</v>
      </c>
      <c r="B61" s="1" t="s">
        <v>41</v>
      </c>
      <c r="C61" s="1"/>
      <c r="D61" s="1" t="s">
        <v>98</v>
      </c>
      <c r="E61" s="1" t="s">
        <v>97</v>
      </c>
      <c r="F61" s="1"/>
      <c r="G61" s="1"/>
      <c r="H61" s="166"/>
      <c r="I61" s="166"/>
      <c r="AR61" s="166"/>
      <c r="AS61" s="166"/>
    </row>
    <row r="62" spans="1:45" ht="15">
      <c r="A62" s="1" t="s">
        <v>433</v>
      </c>
      <c r="B62" s="1" t="s">
        <v>41</v>
      </c>
      <c r="C62" s="1"/>
      <c r="D62" s="1" t="s">
        <v>58</v>
      </c>
      <c r="E62" s="1" t="s">
        <v>57</v>
      </c>
      <c r="F62" s="1"/>
      <c r="G62" s="1"/>
      <c r="H62" s="166"/>
      <c r="I62" s="166"/>
      <c r="AR62" s="166"/>
      <c r="AS62" s="166"/>
    </row>
    <row r="63" spans="1:45" ht="15">
      <c r="A63" s="1" t="s">
        <v>433</v>
      </c>
      <c r="B63" s="1" t="s">
        <v>41</v>
      </c>
      <c r="C63" s="1"/>
      <c r="D63" s="1" t="s">
        <v>70</v>
      </c>
      <c r="E63" s="1" t="s">
        <v>69</v>
      </c>
      <c r="F63" s="1"/>
      <c r="G63" s="1"/>
      <c r="H63" s="166"/>
      <c r="I63" s="166"/>
      <c r="AR63" s="166"/>
      <c r="AS63" s="166"/>
    </row>
    <row r="64" spans="1:45" ht="15">
      <c r="A64" s="1" t="s">
        <v>433</v>
      </c>
      <c r="B64" s="1" t="s">
        <v>41</v>
      </c>
      <c r="C64" s="1"/>
      <c r="D64" s="1" t="s">
        <v>84</v>
      </c>
      <c r="E64" s="1" t="s">
        <v>83</v>
      </c>
      <c r="F64" s="1"/>
      <c r="G64" s="1"/>
      <c r="H64" s="166"/>
      <c r="I64" s="166"/>
      <c r="AR64" s="166"/>
      <c r="AS64" s="166"/>
    </row>
    <row r="65" spans="1:45" ht="15">
      <c r="A65" s="1" t="s">
        <v>433</v>
      </c>
      <c r="B65" s="1" t="s">
        <v>41</v>
      </c>
      <c r="C65" s="1"/>
      <c r="D65" s="1" t="s">
        <v>106</v>
      </c>
      <c r="E65" s="1" t="s">
        <v>105</v>
      </c>
      <c r="F65" s="1"/>
      <c r="G65" s="1"/>
      <c r="H65" s="166"/>
      <c r="I65" s="166"/>
      <c r="AR65" s="166"/>
      <c r="AS65" s="166"/>
    </row>
    <row r="66" spans="1:45" ht="15">
      <c r="A66" s="1" t="s">
        <v>433</v>
      </c>
      <c r="B66" s="1" t="s">
        <v>41</v>
      </c>
      <c r="C66" s="1"/>
      <c r="D66" s="1" t="s">
        <v>110</v>
      </c>
      <c r="E66" s="1" t="s">
        <v>109</v>
      </c>
      <c r="F66" s="1"/>
      <c r="G66" s="1"/>
      <c r="H66" s="166"/>
      <c r="I66" s="166"/>
      <c r="AR66" s="166"/>
      <c r="AS66" s="166"/>
    </row>
    <row r="67" spans="1:45" ht="15">
      <c r="A67" s="1" t="s">
        <v>433</v>
      </c>
      <c r="B67" s="1" t="s">
        <v>41</v>
      </c>
      <c r="C67" s="1"/>
      <c r="D67" s="1" t="s">
        <v>120</v>
      </c>
      <c r="E67" s="1" t="s">
        <v>119</v>
      </c>
      <c r="F67" s="1"/>
      <c r="G67" s="1"/>
      <c r="H67" s="166"/>
      <c r="I67" s="166"/>
      <c r="AR67" s="166"/>
      <c r="AS67" s="166"/>
    </row>
    <row r="68" spans="1:45" ht="15">
      <c r="A68" s="1" t="s">
        <v>433</v>
      </c>
      <c r="B68" s="1" t="s">
        <v>41</v>
      </c>
      <c r="C68" s="1"/>
      <c r="D68" s="1" t="s">
        <v>134</v>
      </c>
      <c r="E68" s="1" t="s">
        <v>133</v>
      </c>
      <c r="F68" s="1"/>
      <c r="G68" s="1"/>
      <c r="H68" s="166"/>
      <c r="I68" s="166"/>
      <c r="AR68" s="166"/>
      <c r="AS68" s="166"/>
    </row>
    <row r="69" spans="1:45" ht="15">
      <c r="A69" s="1" t="s">
        <v>433</v>
      </c>
      <c r="B69" s="1" t="s">
        <v>41</v>
      </c>
      <c r="C69" s="1"/>
      <c r="D69" s="1" t="s">
        <v>142</v>
      </c>
      <c r="E69" s="1" t="s">
        <v>141</v>
      </c>
      <c r="F69" s="1"/>
      <c r="G69" s="1"/>
      <c r="H69" s="166"/>
      <c r="I69" s="166"/>
      <c r="AR69" s="166"/>
      <c r="AS69" s="166"/>
    </row>
    <row r="70" spans="1:45" ht="15">
      <c r="A70" s="1" t="s">
        <v>433</v>
      </c>
      <c r="B70" s="1" t="s">
        <v>41</v>
      </c>
      <c r="C70" s="1"/>
      <c r="D70" s="1" t="s">
        <v>140</v>
      </c>
      <c r="E70" s="1" t="s">
        <v>139</v>
      </c>
      <c r="F70" s="1">
        <v>96.34335</v>
      </c>
      <c r="G70" s="1">
        <v>25.6447</v>
      </c>
      <c r="H70" s="166"/>
      <c r="I70" s="166"/>
      <c r="AR70" s="166"/>
      <c r="AS70" s="166"/>
    </row>
    <row r="71" spans="1:45" ht="15">
      <c r="A71" s="1" t="s">
        <v>433</v>
      </c>
      <c r="B71" s="1" t="s">
        <v>41</v>
      </c>
      <c r="C71" s="1"/>
      <c r="D71" s="1" t="s">
        <v>72</v>
      </c>
      <c r="E71" s="1" t="s">
        <v>71</v>
      </c>
      <c r="F71" s="1"/>
      <c r="G71" s="1"/>
      <c r="H71" s="166"/>
      <c r="I71" s="166"/>
      <c r="AR71" s="166"/>
      <c r="AS71" s="166"/>
    </row>
    <row r="72" spans="1:45" ht="15">
      <c r="A72" s="1" t="s">
        <v>433</v>
      </c>
      <c r="B72" s="1" t="s">
        <v>41</v>
      </c>
      <c r="C72" s="1"/>
      <c r="D72" s="1" t="s">
        <v>88</v>
      </c>
      <c r="E72" s="1" t="s">
        <v>87</v>
      </c>
      <c r="F72" s="1"/>
      <c r="G72" s="1"/>
      <c r="H72" s="166"/>
      <c r="I72" s="166"/>
      <c r="AR72" s="166"/>
      <c r="AS72" s="166"/>
    </row>
    <row r="73" spans="1:45" ht="15">
      <c r="A73" s="1" t="s">
        <v>433</v>
      </c>
      <c r="B73" s="1" t="s">
        <v>41</v>
      </c>
      <c r="C73" s="1"/>
      <c r="D73" s="1" t="s">
        <v>90</v>
      </c>
      <c r="E73" s="1" t="s">
        <v>89</v>
      </c>
      <c r="F73" s="1"/>
      <c r="G73" s="1"/>
      <c r="H73" s="166"/>
      <c r="I73" s="166"/>
      <c r="AR73" s="166"/>
      <c r="AS73" s="166"/>
    </row>
    <row r="74" spans="1:45" ht="15">
      <c r="A74" s="1" t="s">
        <v>433</v>
      </c>
      <c r="B74" s="1" t="s">
        <v>41</v>
      </c>
      <c r="C74" s="1"/>
      <c r="D74" s="1" t="s">
        <v>104</v>
      </c>
      <c r="E74" s="1" t="s">
        <v>103</v>
      </c>
      <c r="F74" s="1"/>
      <c r="G74" s="1"/>
      <c r="H74" s="166"/>
      <c r="I74" s="166"/>
      <c r="AR74" s="166"/>
      <c r="AS74" s="166"/>
    </row>
    <row r="75" spans="1:45" ht="15">
      <c r="A75" s="1" t="s">
        <v>433</v>
      </c>
      <c r="B75" s="1" t="s">
        <v>41</v>
      </c>
      <c r="C75" s="1"/>
      <c r="D75" s="1" t="s">
        <v>108</v>
      </c>
      <c r="E75" s="1" t="s">
        <v>107</v>
      </c>
      <c r="F75" s="1"/>
      <c r="G75" s="1"/>
      <c r="H75" s="166"/>
      <c r="I75" s="166"/>
      <c r="AR75" s="166"/>
      <c r="AS75" s="166"/>
    </row>
    <row r="76" spans="1:45" ht="15">
      <c r="A76" s="1" t="s">
        <v>433</v>
      </c>
      <c r="B76" s="1" t="s">
        <v>41</v>
      </c>
      <c r="C76" s="1"/>
      <c r="D76" s="1" t="s">
        <v>102</v>
      </c>
      <c r="E76" s="1" t="s">
        <v>101</v>
      </c>
      <c r="F76" s="1">
        <v>96.35931</v>
      </c>
      <c r="G76" s="1">
        <v>25.65144</v>
      </c>
      <c r="H76" s="166"/>
      <c r="I76" s="166"/>
      <c r="AR76" s="166"/>
      <c r="AS76" s="166"/>
    </row>
    <row r="77" spans="1:45" ht="15">
      <c r="A77" s="1" t="s">
        <v>433</v>
      </c>
      <c r="B77" s="1" t="s">
        <v>41</v>
      </c>
      <c r="C77" s="1"/>
      <c r="D77" s="1" t="s">
        <v>146</v>
      </c>
      <c r="E77" s="1" t="s">
        <v>145</v>
      </c>
      <c r="F77" s="1">
        <v>96.35416</v>
      </c>
      <c r="G77" s="1">
        <v>25.65867</v>
      </c>
      <c r="H77" s="166"/>
      <c r="I77" s="166"/>
      <c r="AR77" s="166"/>
      <c r="AS77" s="166"/>
    </row>
    <row r="78" spans="1:45" ht="15">
      <c r="A78" s="1" t="s">
        <v>433</v>
      </c>
      <c r="B78" s="1" t="s">
        <v>41</v>
      </c>
      <c r="C78" s="1"/>
      <c r="D78" s="1" t="s">
        <v>112</v>
      </c>
      <c r="E78" s="1" t="s">
        <v>111</v>
      </c>
      <c r="F78" s="1"/>
      <c r="G78" s="1"/>
      <c r="H78" s="166"/>
      <c r="I78" s="166"/>
      <c r="AR78" s="166"/>
      <c r="AS78" s="166"/>
    </row>
    <row r="79" spans="1:45" ht="15">
      <c r="A79" s="1" t="s">
        <v>433</v>
      </c>
      <c r="B79" s="1" t="s">
        <v>41</v>
      </c>
      <c r="C79" s="1"/>
      <c r="D79" s="1" t="s">
        <v>114</v>
      </c>
      <c r="E79" s="1" t="s">
        <v>113</v>
      </c>
      <c r="F79" s="1">
        <v>96.31279</v>
      </c>
      <c r="G79" s="1">
        <v>25.61116</v>
      </c>
      <c r="H79" s="166"/>
      <c r="I79" s="166"/>
      <c r="AR79" s="166"/>
      <c r="AS79" s="166"/>
    </row>
    <row r="80" spans="1:45" ht="15">
      <c r="A80" s="1" t="s">
        <v>433</v>
      </c>
      <c r="B80" s="1" t="s">
        <v>41</v>
      </c>
      <c r="C80" s="1"/>
      <c r="D80" s="1" t="s">
        <v>116</v>
      </c>
      <c r="E80" s="1" t="s">
        <v>115</v>
      </c>
      <c r="F80" s="1">
        <v>96.31326</v>
      </c>
      <c r="G80" s="1">
        <v>25.6119</v>
      </c>
      <c r="H80" s="166"/>
      <c r="I80" s="166"/>
      <c r="AR80" s="166"/>
      <c r="AS80" s="166"/>
    </row>
    <row r="81" spans="1:45" ht="15">
      <c r="A81" s="1" t="s">
        <v>433</v>
      </c>
      <c r="B81" s="1" t="s">
        <v>41</v>
      </c>
      <c r="C81" s="1"/>
      <c r="D81" s="1" t="s">
        <v>118</v>
      </c>
      <c r="E81" s="1" t="s">
        <v>117</v>
      </c>
      <c r="F81" s="1"/>
      <c r="G81" s="1"/>
      <c r="H81" s="166"/>
      <c r="I81" s="166"/>
      <c r="AR81" s="166"/>
      <c r="AS81" s="166"/>
    </row>
    <row r="82" spans="1:45" ht="15">
      <c r="A82" s="1" t="s">
        <v>433</v>
      </c>
      <c r="B82" s="1" t="s">
        <v>41</v>
      </c>
      <c r="C82" s="1"/>
      <c r="D82" s="1" t="s">
        <v>122</v>
      </c>
      <c r="E82" s="1" t="s">
        <v>121</v>
      </c>
      <c r="F82" s="1">
        <v>96.2792</v>
      </c>
      <c r="G82" s="1">
        <v>25.56551</v>
      </c>
      <c r="H82" s="166"/>
      <c r="I82" s="166"/>
      <c r="AR82" s="166"/>
      <c r="AS82" s="166"/>
    </row>
    <row r="83" spans="1:45" ht="15">
      <c r="A83" s="1" t="s">
        <v>433</v>
      </c>
      <c r="B83" s="1" t="s">
        <v>41</v>
      </c>
      <c r="C83" s="1"/>
      <c r="D83" s="1" t="s">
        <v>126</v>
      </c>
      <c r="E83" s="1" t="s">
        <v>125</v>
      </c>
      <c r="F83" s="1"/>
      <c r="G83" s="1"/>
      <c r="H83" s="166"/>
      <c r="I83" s="166"/>
      <c r="AR83" s="166"/>
      <c r="AS83" s="166"/>
    </row>
    <row r="84" spans="1:45" ht="15">
      <c r="A84" s="1" t="s">
        <v>433</v>
      </c>
      <c r="B84" s="1" t="s">
        <v>41</v>
      </c>
      <c r="C84" s="1"/>
      <c r="D84" s="1" t="s">
        <v>128</v>
      </c>
      <c r="E84" s="1" t="s">
        <v>127</v>
      </c>
      <c r="F84" s="1">
        <v>96.35303</v>
      </c>
      <c r="G84" s="1">
        <v>25.6684</v>
      </c>
      <c r="H84" s="166"/>
      <c r="I84" s="166"/>
      <c r="AR84" s="166"/>
      <c r="AS84" s="166"/>
    </row>
    <row r="85" spans="1:45" ht="15">
      <c r="A85" s="1" t="s">
        <v>433</v>
      </c>
      <c r="B85" s="1" t="s">
        <v>41</v>
      </c>
      <c r="C85" s="1"/>
      <c r="D85" s="1" t="s">
        <v>100</v>
      </c>
      <c r="E85" s="1" t="s">
        <v>99</v>
      </c>
      <c r="F85" s="1"/>
      <c r="G85" s="1"/>
      <c r="H85" s="166"/>
      <c r="I85" s="166"/>
      <c r="AR85" s="166"/>
      <c r="AS85" s="166"/>
    </row>
    <row r="86" spans="1:45" ht="15">
      <c r="A86" s="1" t="s">
        <v>433</v>
      </c>
      <c r="B86" s="1" t="s">
        <v>41</v>
      </c>
      <c r="C86" s="1"/>
      <c r="D86" s="1" t="s">
        <v>136</v>
      </c>
      <c r="E86" s="1" t="s">
        <v>135</v>
      </c>
      <c r="F86" s="1"/>
      <c r="G86" s="1"/>
      <c r="H86" s="166"/>
      <c r="I86" s="166"/>
      <c r="AR86" s="166"/>
      <c r="AS86" s="166"/>
    </row>
    <row r="87" spans="1:45" ht="15">
      <c r="A87" s="1" t="s">
        <v>433</v>
      </c>
      <c r="B87" s="1" t="s">
        <v>41</v>
      </c>
      <c r="C87" s="1"/>
      <c r="D87" s="1" t="s">
        <v>138</v>
      </c>
      <c r="E87" s="1" t="s">
        <v>137</v>
      </c>
      <c r="F87" s="1"/>
      <c r="G87" s="1"/>
      <c r="H87" s="166"/>
      <c r="I87" s="166"/>
      <c r="AR87" s="166"/>
      <c r="AS87" s="166"/>
    </row>
    <row r="88" spans="1:45" ht="15">
      <c r="A88" s="1" t="s">
        <v>433</v>
      </c>
      <c r="B88" s="1" t="s">
        <v>41</v>
      </c>
      <c r="C88" s="1"/>
      <c r="D88" s="1" t="s">
        <v>68</v>
      </c>
      <c r="E88" s="1" t="s">
        <v>67</v>
      </c>
      <c r="F88" s="1">
        <v>96.28825</v>
      </c>
      <c r="G88" s="1">
        <v>25.57921</v>
      </c>
      <c r="H88" s="166"/>
      <c r="I88" s="166"/>
      <c r="AR88" s="166"/>
      <c r="AS88" s="166"/>
    </row>
    <row r="89" spans="1:45" ht="15">
      <c r="A89" s="1" t="s">
        <v>433</v>
      </c>
      <c r="B89" s="1" t="s">
        <v>41</v>
      </c>
      <c r="C89" s="1"/>
      <c r="D89" s="1" t="s">
        <v>130</v>
      </c>
      <c r="E89" s="1" t="s">
        <v>129</v>
      </c>
      <c r="F89" s="1">
        <v>96.28668</v>
      </c>
      <c r="G89" s="1">
        <v>25.57756</v>
      </c>
      <c r="H89" s="166"/>
      <c r="I89" s="166"/>
      <c r="AR89" s="166"/>
      <c r="AS89" s="166"/>
    </row>
    <row r="90" spans="1:45" ht="15">
      <c r="A90" s="1" t="s">
        <v>433</v>
      </c>
      <c r="B90" s="1" t="s">
        <v>41</v>
      </c>
      <c r="C90" s="1"/>
      <c r="D90" s="1" t="s">
        <v>78</v>
      </c>
      <c r="E90" s="1" t="s">
        <v>77</v>
      </c>
      <c r="F90" s="1"/>
      <c r="G90" s="1"/>
      <c r="H90" s="166"/>
      <c r="I90" s="166"/>
      <c r="AR90" s="166"/>
      <c r="AS90" s="166"/>
    </row>
    <row r="91" spans="1:45" ht="15">
      <c r="A91" s="1" t="s">
        <v>433</v>
      </c>
      <c r="B91" s="1" t="s">
        <v>41</v>
      </c>
      <c r="C91" s="1"/>
      <c r="D91" s="1" t="s">
        <v>144</v>
      </c>
      <c r="E91" s="1" t="s">
        <v>143</v>
      </c>
      <c r="F91" s="1"/>
      <c r="G91" s="1"/>
      <c r="H91" s="166"/>
      <c r="I91" s="166"/>
      <c r="AR91" s="166"/>
      <c r="AS91" s="166"/>
    </row>
    <row r="92" spans="1:45" ht="15">
      <c r="A92" s="1" t="s">
        <v>433</v>
      </c>
      <c r="B92" s="1" t="s">
        <v>412</v>
      </c>
      <c r="C92" s="1"/>
      <c r="D92" s="1" t="s">
        <v>37</v>
      </c>
      <c r="E92" s="1" t="s">
        <v>411</v>
      </c>
      <c r="F92" s="1"/>
      <c r="G92" s="1"/>
      <c r="H92" s="166"/>
      <c r="I92" s="166"/>
      <c r="AR92" s="166"/>
      <c r="AS92" s="166"/>
    </row>
    <row r="93" spans="1:45" ht="15">
      <c r="A93" s="1" t="s">
        <v>433</v>
      </c>
      <c r="B93" s="1" t="s">
        <v>148</v>
      </c>
      <c r="C93" s="1"/>
      <c r="D93" s="1" t="s">
        <v>149</v>
      </c>
      <c r="E93" s="1" t="s">
        <v>147</v>
      </c>
      <c r="F93" s="1"/>
      <c r="G93" s="1"/>
      <c r="H93" s="166"/>
      <c r="I93" s="166"/>
      <c r="AR93" s="166"/>
      <c r="AS93" s="166"/>
    </row>
    <row r="94" spans="1:45" ht="15">
      <c r="A94" s="1" t="s">
        <v>433</v>
      </c>
      <c r="B94" s="1" t="s">
        <v>150</v>
      </c>
      <c r="C94" s="1"/>
      <c r="D94" s="1" t="s">
        <v>424</v>
      </c>
      <c r="E94" s="1" t="s">
        <v>435</v>
      </c>
      <c r="F94" s="1"/>
      <c r="G94" s="1"/>
      <c r="H94" s="166"/>
      <c r="I94" s="166"/>
      <c r="AR94" s="166"/>
      <c r="AS94" s="166"/>
    </row>
    <row r="95" spans="1:45" ht="15">
      <c r="A95" s="1" t="s">
        <v>433</v>
      </c>
      <c r="B95" s="1" t="s">
        <v>150</v>
      </c>
      <c r="C95" s="1"/>
      <c r="D95" s="1" t="s">
        <v>420</v>
      </c>
      <c r="E95" s="1" t="s">
        <v>436</v>
      </c>
      <c r="F95" s="1"/>
      <c r="G95" s="1"/>
      <c r="H95" s="166"/>
      <c r="I95" s="166"/>
      <c r="AR95" s="166"/>
      <c r="AS95" s="166"/>
    </row>
    <row r="96" spans="1:45" ht="15">
      <c r="A96" s="1" t="s">
        <v>433</v>
      </c>
      <c r="B96" s="1" t="s">
        <v>150</v>
      </c>
      <c r="C96" s="1"/>
      <c r="D96" s="1" t="s">
        <v>421</v>
      </c>
      <c r="E96" s="1" t="s">
        <v>437</v>
      </c>
      <c r="F96" s="1"/>
      <c r="G96" s="1"/>
      <c r="H96" s="166"/>
      <c r="I96" s="166"/>
      <c r="AR96" s="166"/>
      <c r="AS96" s="166"/>
    </row>
    <row r="97" spans="1:45" ht="15">
      <c r="A97" s="1" t="s">
        <v>433</v>
      </c>
      <c r="B97" s="1" t="s">
        <v>150</v>
      </c>
      <c r="C97" s="1"/>
      <c r="D97" s="1" t="s">
        <v>419</v>
      </c>
      <c r="E97" s="1" t="s">
        <v>438</v>
      </c>
      <c r="F97" s="1"/>
      <c r="G97" s="1"/>
      <c r="H97" s="166"/>
      <c r="I97" s="166"/>
      <c r="AR97" s="166"/>
      <c r="AS97" s="166"/>
    </row>
    <row r="98" spans="1:45" ht="15">
      <c r="A98" s="1" t="s">
        <v>433</v>
      </c>
      <c r="B98" s="1" t="s">
        <v>150</v>
      </c>
      <c r="C98" s="1"/>
      <c r="D98" s="1" t="s">
        <v>422</v>
      </c>
      <c r="E98" s="1" t="s">
        <v>151</v>
      </c>
      <c r="F98" s="1"/>
      <c r="G98" s="1"/>
      <c r="H98" s="166"/>
      <c r="I98" s="166"/>
      <c r="AR98" s="166"/>
      <c r="AS98" s="166"/>
    </row>
    <row r="99" spans="1:45" ht="15">
      <c r="A99" s="1" t="s">
        <v>433</v>
      </c>
      <c r="B99" s="1" t="s">
        <v>150</v>
      </c>
      <c r="C99" s="1"/>
      <c r="D99" s="1" t="s">
        <v>418</v>
      </c>
      <c r="E99" s="1" t="s">
        <v>439</v>
      </c>
      <c r="F99" s="1"/>
      <c r="G99" s="1"/>
      <c r="H99" s="166"/>
      <c r="I99" s="166"/>
      <c r="AR99" s="166"/>
      <c r="AS99" s="166"/>
    </row>
    <row r="100" spans="1:45" ht="15">
      <c r="A100" s="1" t="s">
        <v>433</v>
      </c>
      <c r="B100" s="1" t="s">
        <v>150</v>
      </c>
      <c r="C100" s="1"/>
      <c r="D100" s="1" t="s">
        <v>153</v>
      </c>
      <c r="E100" s="1" t="s">
        <v>152</v>
      </c>
      <c r="F100" s="1"/>
      <c r="G100" s="1"/>
      <c r="H100" s="166"/>
      <c r="I100" s="166"/>
      <c r="AR100" s="166"/>
      <c r="AS100" s="166"/>
    </row>
    <row r="101" spans="1:45" ht="15">
      <c r="A101" s="1" t="s">
        <v>433</v>
      </c>
      <c r="B101" s="1" t="s">
        <v>150</v>
      </c>
      <c r="C101" s="1"/>
      <c r="D101" s="1" t="s">
        <v>425</v>
      </c>
      <c r="E101" s="1" t="s">
        <v>440</v>
      </c>
      <c r="F101" s="1"/>
      <c r="G101" s="1"/>
      <c r="H101" s="166"/>
      <c r="I101" s="166"/>
      <c r="AR101" s="166"/>
      <c r="AS101" s="166"/>
    </row>
    <row r="102" spans="1:45" ht="15">
      <c r="A102" s="1" t="s">
        <v>433</v>
      </c>
      <c r="B102" s="1" t="s">
        <v>155</v>
      </c>
      <c r="C102" s="1"/>
      <c r="D102" s="1" t="s">
        <v>14</v>
      </c>
      <c r="E102" s="1" t="s">
        <v>445</v>
      </c>
      <c r="F102" s="1"/>
      <c r="G102" s="1"/>
      <c r="H102" s="166"/>
      <c r="I102" s="166"/>
      <c r="AR102" s="166"/>
      <c r="AS102" s="166"/>
    </row>
    <row r="103" spans="1:45" ht="15">
      <c r="A103" s="1" t="s">
        <v>433</v>
      </c>
      <c r="B103" s="1" t="s">
        <v>155</v>
      </c>
      <c r="C103" s="1"/>
      <c r="D103" s="1" t="s">
        <v>162</v>
      </c>
      <c r="E103" s="1" t="s">
        <v>161</v>
      </c>
      <c r="F103" s="1">
        <v>97.585667</v>
      </c>
      <c r="G103" s="1">
        <v>23.9055</v>
      </c>
      <c r="H103" s="166"/>
      <c r="I103" s="166"/>
      <c r="AR103" s="166"/>
      <c r="AS103" s="166"/>
    </row>
    <row r="104" spans="1:45" ht="15">
      <c r="A104" s="1" t="s">
        <v>433</v>
      </c>
      <c r="B104" s="1" t="s">
        <v>155</v>
      </c>
      <c r="C104" s="1"/>
      <c r="D104" s="1" t="s">
        <v>164</v>
      </c>
      <c r="E104" s="1" t="s">
        <v>163</v>
      </c>
      <c r="F104" s="1"/>
      <c r="G104" s="1"/>
      <c r="H104" s="166"/>
      <c r="I104" s="166"/>
      <c r="AR104" s="166"/>
      <c r="AS104" s="166"/>
    </row>
    <row r="105" spans="1:45" ht="15">
      <c r="A105" s="1" t="s">
        <v>433</v>
      </c>
      <c r="B105" s="1" t="s">
        <v>155</v>
      </c>
      <c r="C105" s="1"/>
      <c r="D105" s="1" t="s">
        <v>158</v>
      </c>
      <c r="E105" s="1" t="s">
        <v>157</v>
      </c>
      <c r="F105" s="1"/>
      <c r="G105" s="1"/>
      <c r="H105" s="166"/>
      <c r="I105" s="166"/>
      <c r="AR105" s="166"/>
      <c r="AS105" s="166"/>
    </row>
    <row r="106" spans="1:45" ht="15">
      <c r="A106" s="1" t="s">
        <v>433</v>
      </c>
      <c r="B106" s="1" t="s">
        <v>155</v>
      </c>
      <c r="C106" s="1"/>
      <c r="D106" s="1" t="s">
        <v>160</v>
      </c>
      <c r="E106" s="1" t="s">
        <v>159</v>
      </c>
      <c r="F106" s="1"/>
      <c r="G106" s="1"/>
      <c r="H106" s="166"/>
      <c r="I106" s="166"/>
      <c r="AR106" s="166"/>
      <c r="AS106" s="166"/>
    </row>
    <row r="107" spans="1:45" ht="15">
      <c r="A107" s="1" t="s">
        <v>433</v>
      </c>
      <c r="B107" s="1" t="s">
        <v>155</v>
      </c>
      <c r="C107" s="1"/>
      <c r="D107" s="1" t="s">
        <v>156</v>
      </c>
      <c r="E107" s="1" t="s">
        <v>154</v>
      </c>
      <c r="F107" s="1">
        <v>97.29182</v>
      </c>
      <c r="G107" s="1">
        <v>24.12906</v>
      </c>
      <c r="H107" s="166"/>
      <c r="I107" s="166"/>
      <c r="AR107" s="166"/>
      <c r="AS107" s="166"/>
    </row>
    <row r="108" spans="1:45" ht="15">
      <c r="A108" s="1" t="s">
        <v>433</v>
      </c>
      <c r="B108" s="1" t="s">
        <v>155</v>
      </c>
      <c r="C108" s="1"/>
      <c r="D108" s="1" t="s">
        <v>166</v>
      </c>
      <c r="E108" s="1" t="s">
        <v>165</v>
      </c>
      <c r="F108" s="1"/>
      <c r="G108" s="1"/>
      <c r="H108" s="166"/>
      <c r="I108" s="166"/>
      <c r="AR108" s="166"/>
      <c r="AS108" s="166"/>
    </row>
    <row r="109" spans="1:45" ht="15">
      <c r="A109" s="1" t="s">
        <v>433</v>
      </c>
      <c r="B109" s="1" t="s">
        <v>155</v>
      </c>
      <c r="C109" s="1"/>
      <c r="D109" s="1" t="s">
        <v>168</v>
      </c>
      <c r="E109" s="1" t="s">
        <v>167</v>
      </c>
      <c r="F109" s="1"/>
      <c r="G109" s="1"/>
      <c r="H109" s="166"/>
      <c r="I109" s="166"/>
      <c r="AR109" s="166"/>
      <c r="AS109" s="166"/>
    </row>
    <row r="110" spans="1:45" ht="15">
      <c r="A110" s="1" t="s">
        <v>433</v>
      </c>
      <c r="B110" s="1" t="s">
        <v>170</v>
      </c>
      <c r="C110" s="1"/>
      <c r="D110" s="1" t="s">
        <v>171</v>
      </c>
      <c r="E110" s="1" t="s">
        <v>169</v>
      </c>
      <c r="F110" s="1"/>
      <c r="G110" s="1"/>
      <c r="H110" s="166"/>
      <c r="I110" s="166"/>
      <c r="AR110" s="166"/>
      <c r="AS110" s="166"/>
    </row>
    <row r="111" spans="1:45" ht="15">
      <c r="A111" s="1" t="s">
        <v>433</v>
      </c>
      <c r="B111" s="1" t="s">
        <v>170</v>
      </c>
      <c r="C111" s="1"/>
      <c r="D111" s="1" t="s">
        <v>173</v>
      </c>
      <c r="E111" s="1" t="s">
        <v>172</v>
      </c>
      <c r="F111" s="1"/>
      <c r="G111" s="1"/>
      <c r="H111" s="166"/>
      <c r="I111" s="166"/>
      <c r="AR111" s="166"/>
      <c r="AS111" s="166"/>
    </row>
    <row r="112" spans="1:45" ht="15">
      <c r="A112" s="1" t="s">
        <v>433</v>
      </c>
      <c r="B112" s="1" t="s">
        <v>170</v>
      </c>
      <c r="C112" s="1"/>
      <c r="D112" s="1" t="s">
        <v>175</v>
      </c>
      <c r="E112" s="1" t="s">
        <v>174</v>
      </c>
      <c r="F112" s="1"/>
      <c r="G112" s="1"/>
      <c r="H112" s="166"/>
      <c r="I112" s="166"/>
      <c r="AR112" s="166"/>
      <c r="AS112" s="166"/>
    </row>
    <row r="113" spans="1:45" ht="15">
      <c r="A113" s="1" t="s">
        <v>433</v>
      </c>
      <c r="B113" s="1" t="s">
        <v>177</v>
      </c>
      <c r="C113" s="1"/>
      <c r="D113" s="1" t="s">
        <v>178</v>
      </c>
      <c r="E113" s="1" t="s">
        <v>176</v>
      </c>
      <c r="F113" s="1">
        <v>96.92262</v>
      </c>
      <c r="G113" s="1">
        <v>25.30567</v>
      </c>
      <c r="H113" s="166"/>
      <c r="I113" s="166"/>
      <c r="AR113" s="166"/>
      <c r="AS113" s="166"/>
    </row>
    <row r="114" spans="1:45" ht="15">
      <c r="A114" s="1" t="s">
        <v>433</v>
      </c>
      <c r="B114" s="1" t="s">
        <v>177</v>
      </c>
      <c r="C114" s="1"/>
      <c r="D114" s="1" t="s">
        <v>180</v>
      </c>
      <c r="E114" s="1" t="s">
        <v>179</v>
      </c>
      <c r="F114" s="1">
        <v>96.94228</v>
      </c>
      <c r="G114" s="1">
        <v>25.29658</v>
      </c>
      <c r="H114" s="166"/>
      <c r="I114" s="166"/>
      <c r="AR114" s="166"/>
      <c r="AS114" s="166"/>
    </row>
    <row r="115" spans="1:45" ht="15">
      <c r="A115" s="1" t="s">
        <v>433</v>
      </c>
      <c r="B115" s="1" t="s">
        <v>177</v>
      </c>
      <c r="C115" s="1"/>
      <c r="D115" s="1" t="s">
        <v>182</v>
      </c>
      <c r="E115" s="1" t="s">
        <v>181</v>
      </c>
      <c r="F115" s="1">
        <v>96.94874</v>
      </c>
      <c r="G115" s="1">
        <v>25.30442</v>
      </c>
      <c r="H115" s="166"/>
      <c r="I115" s="166"/>
      <c r="AR115" s="166"/>
      <c r="AS115" s="166"/>
    </row>
    <row r="116" spans="1:45" ht="15">
      <c r="A116" s="1" t="s">
        <v>433</v>
      </c>
      <c r="B116" s="1" t="s">
        <v>184</v>
      </c>
      <c r="C116" s="1"/>
      <c r="D116" s="1" t="s">
        <v>187</v>
      </c>
      <c r="E116" s="1" t="s">
        <v>186</v>
      </c>
      <c r="F116" s="1">
        <v>96.36495</v>
      </c>
      <c r="G116" s="1">
        <v>24.99835</v>
      </c>
      <c r="H116" s="166"/>
      <c r="I116" s="166"/>
      <c r="AR116" s="166"/>
      <c r="AS116" s="166"/>
    </row>
    <row r="117" spans="1:45" ht="15">
      <c r="A117" s="1" t="s">
        <v>433</v>
      </c>
      <c r="B117" s="1" t="s">
        <v>184</v>
      </c>
      <c r="C117" s="1"/>
      <c r="D117" s="1" t="s">
        <v>292</v>
      </c>
      <c r="E117" s="1" t="s">
        <v>291</v>
      </c>
      <c r="F117" s="1"/>
      <c r="G117" s="1"/>
      <c r="H117" s="166"/>
      <c r="I117" s="166"/>
      <c r="AR117" s="166"/>
      <c r="AS117" s="166"/>
    </row>
    <row r="118" spans="1:45" ht="15">
      <c r="A118" s="1" t="s">
        <v>433</v>
      </c>
      <c r="B118" s="1" t="s">
        <v>184</v>
      </c>
      <c r="C118" s="1"/>
      <c r="D118" s="1" t="s">
        <v>185</v>
      </c>
      <c r="E118" s="1" t="s">
        <v>183</v>
      </c>
      <c r="F118" s="1">
        <v>96.36706</v>
      </c>
      <c r="G118" s="1">
        <v>24.7648</v>
      </c>
      <c r="H118" s="166"/>
      <c r="I118" s="166"/>
      <c r="AR118" s="166"/>
      <c r="AS118" s="166"/>
    </row>
    <row r="119" spans="1:45" ht="15">
      <c r="A119" s="1" t="s">
        <v>433</v>
      </c>
      <c r="B119" s="1" t="s">
        <v>189</v>
      </c>
      <c r="C119" s="1"/>
      <c r="D119" s="1" t="s">
        <v>192</v>
      </c>
      <c r="E119" s="1" t="s">
        <v>191</v>
      </c>
      <c r="F119" s="1">
        <v>97.609833</v>
      </c>
      <c r="G119" s="1">
        <v>24.002433</v>
      </c>
      <c r="H119" s="166"/>
      <c r="I119" s="166"/>
      <c r="AR119" s="166"/>
      <c r="AS119" s="166"/>
    </row>
    <row r="120" spans="1:45" ht="15">
      <c r="A120" s="1" t="s">
        <v>433</v>
      </c>
      <c r="B120" s="1" t="s">
        <v>189</v>
      </c>
      <c r="C120" s="1"/>
      <c r="D120" s="1" t="s">
        <v>196</v>
      </c>
      <c r="E120" s="1" t="s">
        <v>195</v>
      </c>
      <c r="F120" s="1">
        <v>97.5371</v>
      </c>
      <c r="G120" s="1">
        <v>24.461033</v>
      </c>
      <c r="H120" s="166"/>
      <c r="I120" s="166"/>
      <c r="AR120" s="166"/>
      <c r="AS120" s="166"/>
    </row>
    <row r="121" spans="1:45" ht="15">
      <c r="A121" s="1" t="s">
        <v>433</v>
      </c>
      <c r="B121" s="1" t="s">
        <v>189</v>
      </c>
      <c r="C121" s="1"/>
      <c r="D121" s="1" t="s">
        <v>198</v>
      </c>
      <c r="E121" s="1" t="s">
        <v>197</v>
      </c>
      <c r="F121" s="1">
        <v>97.573167</v>
      </c>
      <c r="G121" s="1">
        <v>24.661467</v>
      </c>
      <c r="H121" s="166"/>
      <c r="I121" s="166"/>
      <c r="AR121" s="166"/>
      <c r="AS121" s="166"/>
    </row>
    <row r="122" spans="1:45" ht="15">
      <c r="A122" s="1" t="s">
        <v>433</v>
      </c>
      <c r="B122" s="1" t="s">
        <v>189</v>
      </c>
      <c r="C122" s="1"/>
      <c r="D122" s="1" t="s">
        <v>200</v>
      </c>
      <c r="E122" s="1" t="s">
        <v>199</v>
      </c>
      <c r="F122" s="1">
        <v>97.568283</v>
      </c>
      <c r="G122" s="1">
        <v>24.688167</v>
      </c>
      <c r="H122" s="166"/>
      <c r="I122" s="166"/>
      <c r="AR122" s="166"/>
      <c r="AS122" s="166"/>
    </row>
    <row r="123" spans="1:45" ht="15">
      <c r="A123" s="1" t="s">
        <v>433</v>
      </c>
      <c r="B123" s="1" t="s">
        <v>189</v>
      </c>
      <c r="C123" s="1"/>
      <c r="D123" s="1" t="s">
        <v>202</v>
      </c>
      <c r="E123" s="1" t="s">
        <v>201</v>
      </c>
      <c r="F123" s="1">
        <v>97.625617</v>
      </c>
      <c r="G123" s="1">
        <v>24.056133</v>
      </c>
      <c r="H123" s="166"/>
      <c r="I123" s="166"/>
      <c r="AR123" s="166"/>
      <c r="AS123" s="166"/>
    </row>
    <row r="124" spans="1:45" ht="15">
      <c r="A124" s="1" t="s">
        <v>433</v>
      </c>
      <c r="B124" s="1" t="s">
        <v>189</v>
      </c>
      <c r="C124" s="1"/>
      <c r="D124" s="1" t="s">
        <v>219</v>
      </c>
      <c r="E124" s="1" t="s">
        <v>218</v>
      </c>
      <c r="F124" s="1">
        <v>97.669367</v>
      </c>
      <c r="G124" s="1">
        <v>24.378167</v>
      </c>
      <c r="H124" s="166"/>
      <c r="I124" s="166"/>
      <c r="AR124" s="166"/>
      <c r="AS124" s="166"/>
    </row>
    <row r="125" spans="1:45" ht="15">
      <c r="A125" s="1" t="s">
        <v>433</v>
      </c>
      <c r="B125" s="1" t="s">
        <v>189</v>
      </c>
      <c r="C125" s="1"/>
      <c r="D125" s="1" t="s">
        <v>223</v>
      </c>
      <c r="E125" s="1" t="s">
        <v>222</v>
      </c>
      <c r="F125" s="1">
        <v>97.752667</v>
      </c>
      <c r="G125" s="1">
        <v>24.2744</v>
      </c>
      <c r="H125" s="166"/>
      <c r="I125" s="166"/>
      <c r="AR125" s="166"/>
      <c r="AS125" s="166"/>
    </row>
    <row r="126" spans="1:45" ht="15">
      <c r="A126" s="1" t="s">
        <v>433</v>
      </c>
      <c r="B126" s="1" t="s">
        <v>189</v>
      </c>
      <c r="C126" s="1"/>
      <c r="D126" s="1" t="s">
        <v>14</v>
      </c>
      <c r="E126" s="1" t="s">
        <v>446</v>
      </c>
      <c r="F126" s="1"/>
      <c r="G126" s="1"/>
      <c r="H126" s="166"/>
      <c r="I126" s="166"/>
      <c r="AR126" s="166"/>
      <c r="AS126" s="166"/>
    </row>
    <row r="127" spans="1:45" ht="15">
      <c r="A127" s="1" t="s">
        <v>433</v>
      </c>
      <c r="B127" s="1" t="s">
        <v>189</v>
      </c>
      <c r="C127" s="1"/>
      <c r="D127" s="1" t="s">
        <v>190</v>
      </c>
      <c r="E127" s="1" t="s">
        <v>188</v>
      </c>
      <c r="F127" s="1"/>
      <c r="G127" s="1"/>
      <c r="H127" s="166"/>
      <c r="I127" s="166"/>
      <c r="AR127" s="166"/>
      <c r="AS127" s="166"/>
    </row>
    <row r="128" spans="1:45" ht="15">
      <c r="A128" s="1" t="s">
        <v>433</v>
      </c>
      <c r="B128" s="1" t="s">
        <v>189</v>
      </c>
      <c r="C128" s="1"/>
      <c r="D128" s="1" t="s">
        <v>227</v>
      </c>
      <c r="E128" s="1" t="s">
        <v>226</v>
      </c>
      <c r="F128" s="1">
        <v>97.724567</v>
      </c>
      <c r="G128" s="1">
        <v>24.205417</v>
      </c>
      <c r="H128" s="166"/>
      <c r="I128" s="166"/>
      <c r="AR128" s="166"/>
      <c r="AS128" s="166"/>
    </row>
    <row r="129" spans="1:45" ht="15">
      <c r="A129" s="1" t="s">
        <v>433</v>
      </c>
      <c r="B129" s="1" t="s">
        <v>189</v>
      </c>
      <c r="C129" s="1"/>
      <c r="D129" s="1" t="s">
        <v>194</v>
      </c>
      <c r="E129" s="1" t="s">
        <v>193</v>
      </c>
      <c r="F129" s="1">
        <v>97.717133</v>
      </c>
      <c r="G129" s="1">
        <v>24.200433</v>
      </c>
      <c r="H129" s="166"/>
      <c r="I129" s="166"/>
      <c r="AR129" s="166"/>
      <c r="AS129" s="166"/>
    </row>
    <row r="130" spans="1:45" ht="15">
      <c r="A130" s="1" t="s">
        <v>433</v>
      </c>
      <c r="B130" s="1" t="s">
        <v>189</v>
      </c>
      <c r="C130" s="1"/>
      <c r="D130" s="1" t="s">
        <v>204</v>
      </c>
      <c r="E130" s="1" t="s">
        <v>203</v>
      </c>
      <c r="F130" s="1"/>
      <c r="G130" s="1"/>
      <c r="H130" s="166"/>
      <c r="I130" s="166"/>
      <c r="AR130" s="166"/>
      <c r="AS130" s="166"/>
    </row>
    <row r="131" spans="1:45" ht="15">
      <c r="A131" s="1" t="s">
        <v>433</v>
      </c>
      <c r="B131" s="1" t="s">
        <v>189</v>
      </c>
      <c r="C131" s="1"/>
      <c r="D131" s="1" t="s">
        <v>206</v>
      </c>
      <c r="E131" s="1" t="s">
        <v>205</v>
      </c>
      <c r="F131" s="1">
        <v>97.32502</v>
      </c>
      <c r="G131" s="1">
        <v>24.2451</v>
      </c>
      <c r="H131" s="166"/>
      <c r="I131" s="166"/>
      <c r="AR131" s="166"/>
      <c r="AS131" s="166"/>
    </row>
    <row r="132" spans="1:45" ht="15">
      <c r="A132" s="1" t="s">
        <v>433</v>
      </c>
      <c r="B132" s="1" t="s">
        <v>189</v>
      </c>
      <c r="C132" s="1"/>
      <c r="D132" s="1" t="s">
        <v>208</v>
      </c>
      <c r="E132" s="1" t="s">
        <v>207</v>
      </c>
      <c r="F132" s="1">
        <v>97.32166</v>
      </c>
      <c r="G132" s="1">
        <v>24.41</v>
      </c>
      <c r="H132" s="166"/>
      <c r="I132" s="166"/>
      <c r="AR132" s="166"/>
      <c r="AS132" s="166"/>
    </row>
    <row r="133" spans="1:45" ht="15">
      <c r="A133" s="1" t="s">
        <v>433</v>
      </c>
      <c r="B133" s="1" t="s">
        <v>189</v>
      </c>
      <c r="C133" s="1"/>
      <c r="D133" s="1" t="s">
        <v>209</v>
      </c>
      <c r="E133" s="1" t="s">
        <v>447</v>
      </c>
      <c r="F133" s="1"/>
      <c r="G133" s="1"/>
      <c r="H133" s="166"/>
      <c r="I133" s="166"/>
      <c r="AR133" s="166"/>
      <c r="AS133" s="166"/>
    </row>
    <row r="134" spans="1:45" ht="15">
      <c r="A134" s="1" t="s">
        <v>433</v>
      </c>
      <c r="B134" s="1" t="s">
        <v>189</v>
      </c>
      <c r="C134" s="1"/>
      <c r="D134" s="1" t="s">
        <v>211</v>
      </c>
      <c r="E134" s="1" t="s">
        <v>210</v>
      </c>
      <c r="F134" s="1">
        <v>97.34694</v>
      </c>
      <c r="G134" s="1">
        <v>24.25186</v>
      </c>
      <c r="H134" s="166"/>
      <c r="I134" s="166"/>
      <c r="AR134" s="166"/>
      <c r="AS134" s="166"/>
    </row>
    <row r="135" spans="1:45" ht="15">
      <c r="A135" s="1" t="s">
        <v>433</v>
      </c>
      <c r="B135" s="1" t="s">
        <v>189</v>
      </c>
      <c r="C135" s="1"/>
      <c r="D135" s="1" t="s">
        <v>213</v>
      </c>
      <c r="E135" s="1" t="s">
        <v>212</v>
      </c>
      <c r="F135" s="1">
        <v>97.34436</v>
      </c>
      <c r="G135" s="1">
        <v>24.25069</v>
      </c>
      <c r="H135" s="166"/>
      <c r="I135" s="166"/>
      <c r="AR135" s="166"/>
      <c r="AS135" s="166"/>
    </row>
    <row r="136" spans="1:45" ht="15">
      <c r="A136" s="1" t="s">
        <v>433</v>
      </c>
      <c r="B136" s="1" t="s">
        <v>189</v>
      </c>
      <c r="C136" s="1"/>
      <c r="D136" s="1" t="s">
        <v>215</v>
      </c>
      <c r="E136" s="1" t="s">
        <v>214</v>
      </c>
      <c r="F136" s="1">
        <v>97.34695</v>
      </c>
      <c r="G136" s="1">
        <v>24.25177</v>
      </c>
      <c r="H136" s="166"/>
      <c r="I136" s="166"/>
      <c r="AR136" s="166"/>
      <c r="AS136" s="166"/>
    </row>
    <row r="137" spans="1:45" ht="15">
      <c r="A137" s="1" t="s">
        <v>433</v>
      </c>
      <c r="B137" s="1" t="s">
        <v>189</v>
      </c>
      <c r="C137" s="1"/>
      <c r="D137" s="1" t="s">
        <v>217</v>
      </c>
      <c r="E137" s="1" t="s">
        <v>216</v>
      </c>
      <c r="F137" s="1"/>
      <c r="G137" s="1"/>
      <c r="H137" s="166"/>
      <c r="I137" s="166"/>
      <c r="AR137" s="166"/>
      <c r="AS137" s="166"/>
    </row>
    <row r="138" spans="1:45" ht="15">
      <c r="A138" s="1" t="s">
        <v>433</v>
      </c>
      <c r="B138" s="1" t="s">
        <v>189</v>
      </c>
      <c r="C138" s="1"/>
      <c r="D138" s="1" t="s">
        <v>221</v>
      </c>
      <c r="E138" s="1" t="s">
        <v>220</v>
      </c>
      <c r="F138" s="1">
        <v>97.34774</v>
      </c>
      <c r="G138" s="1">
        <v>24.25377</v>
      </c>
      <c r="H138" s="166"/>
      <c r="I138" s="166"/>
      <c r="AR138" s="166"/>
      <c r="AS138" s="166"/>
    </row>
    <row r="139" spans="1:45" ht="15">
      <c r="A139" s="1" t="s">
        <v>433</v>
      </c>
      <c r="B139" s="1" t="s">
        <v>189</v>
      </c>
      <c r="C139" s="1"/>
      <c r="D139" s="1" t="s">
        <v>233</v>
      </c>
      <c r="E139" s="1" t="s">
        <v>232</v>
      </c>
      <c r="F139" s="1">
        <v>97.724483</v>
      </c>
      <c r="G139" s="1">
        <v>24.205417</v>
      </c>
      <c r="H139" s="166"/>
      <c r="I139" s="166"/>
      <c r="AR139" s="166"/>
      <c r="AS139" s="166"/>
    </row>
    <row r="140" spans="1:45" ht="15">
      <c r="A140" s="1" t="s">
        <v>433</v>
      </c>
      <c r="B140" s="1" t="s">
        <v>189</v>
      </c>
      <c r="C140" s="1"/>
      <c r="D140" s="1" t="s">
        <v>225</v>
      </c>
      <c r="E140" s="1" t="s">
        <v>224</v>
      </c>
      <c r="F140" s="1">
        <v>97.42986</v>
      </c>
      <c r="G140" s="1">
        <v>24.63086</v>
      </c>
      <c r="H140" s="166"/>
      <c r="I140" s="166"/>
      <c r="AR140" s="166"/>
      <c r="AS140" s="166"/>
    </row>
    <row r="141" spans="1:45" ht="15">
      <c r="A141" s="1" t="s">
        <v>433</v>
      </c>
      <c r="B141" s="1" t="s">
        <v>189</v>
      </c>
      <c r="C141" s="1"/>
      <c r="D141" s="1" t="s">
        <v>229</v>
      </c>
      <c r="E141" s="1" t="s">
        <v>228</v>
      </c>
      <c r="F141" s="1"/>
      <c r="G141" s="1"/>
      <c r="H141" s="166"/>
      <c r="I141" s="166"/>
      <c r="AR141" s="166"/>
      <c r="AS141" s="166"/>
    </row>
    <row r="142" spans="1:45" ht="15">
      <c r="A142" s="1" t="s">
        <v>433</v>
      </c>
      <c r="B142" s="1" t="s">
        <v>189</v>
      </c>
      <c r="C142" s="1"/>
      <c r="D142" s="1" t="s">
        <v>231</v>
      </c>
      <c r="E142" s="1" t="s">
        <v>230</v>
      </c>
      <c r="F142" s="1"/>
      <c r="G142" s="1"/>
      <c r="H142" s="166"/>
      <c r="I142" s="166"/>
      <c r="AR142" s="166"/>
      <c r="AS142" s="166"/>
    </row>
    <row r="143" spans="1:45" ht="15">
      <c r="A143" s="1" t="s">
        <v>433</v>
      </c>
      <c r="B143" s="1" t="s">
        <v>432</v>
      </c>
      <c r="C143" s="1"/>
      <c r="D143" s="1" t="s">
        <v>423</v>
      </c>
      <c r="E143" s="1" t="s">
        <v>441</v>
      </c>
      <c r="F143" s="1"/>
      <c r="G143" s="1"/>
      <c r="H143" s="166"/>
      <c r="I143" s="166"/>
      <c r="AR143" s="166"/>
      <c r="AS143" s="166"/>
    </row>
    <row r="144" spans="1:45" ht="15">
      <c r="A144" s="1" t="s">
        <v>433</v>
      </c>
      <c r="B144" s="1" t="s">
        <v>234</v>
      </c>
      <c r="C144" s="1"/>
      <c r="D144" s="1" t="s">
        <v>237</v>
      </c>
      <c r="E144" s="1" t="s">
        <v>236</v>
      </c>
      <c r="F144" s="1"/>
      <c r="G144" s="1"/>
      <c r="H144" s="166"/>
      <c r="I144" s="166"/>
      <c r="AR144" s="166"/>
      <c r="AS144" s="166"/>
    </row>
    <row r="145" spans="1:45" ht="15">
      <c r="A145" s="1" t="s">
        <v>433</v>
      </c>
      <c r="B145" s="1" t="s">
        <v>234</v>
      </c>
      <c r="C145" s="1"/>
      <c r="D145" s="1" t="s">
        <v>235</v>
      </c>
      <c r="E145" s="1" t="s">
        <v>442</v>
      </c>
      <c r="F145" s="1">
        <v>98.11581</v>
      </c>
      <c r="G145" s="1">
        <v>24.08738</v>
      </c>
      <c r="H145" s="166"/>
      <c r="I145" s="166"/>
      <c r="AR145" s="166"/>
      <c r="AS145" s="166"/>
    </row>
    <row r="146" spans="1:45" ht="15">
      <c r="A146" s="1" t="s">
        <v>433</v>
      </c>
      <c r="B146" s="1" t="s">
        <v>234</v>
      </c>
      <c r="C146" s="1"/>
      <c r="D146" s="1" t="s">
        <v>239</v>
      </c>
      <c r="E146" s="1" t="s">
        <v>238</v>
      </c>
      <c r="F146" s="1"/>
      <c r="G146" s="1"/>
      <c r="H146" s="166"/>
      <c r="I146" s="166"/>
      <c r="AR146" s="166"/>
      <c r="AS146" s="166"/>
    </row>
    <row r="147" spans="1:45" ht="15">
      <c r="A147" s="1" t="s">
        <v>433</v>
      </c>
      <c r="B147" s="1" t="s">
        <v>241</v>
      </c>
      <c r="C147" s="1"/>
      <c r="D147" s="1" t="s">
        <v>248</v>
      </c>
      <c r="E147" s="1" t="s">
        <v>247</v>
      </c>
      <c r="F147" s="1">
        <v>97.385101</v>
      </c>
      <c r="G147" s="1">
        <v>25.399796</v>
      </c>
      <c r="H147" s="166"/>
      <c r="I147" s="166"/>
      <c r="AR147" s="166"/>
      <c r="AS147" s="166"/>
    </row>
    <row r="148" spans="1:45" ht="15">
      <c r="A148" s="1" t="s">
        <v>433</v>
      </c>
      <c r="B148" s="1" t="s">
        <v>241</v>
      </c>
      <c r="C148" s="1"/>
      <c r="D148" s="1" t="s">
        <v>250</v>
      </c>
      <c r="E148" s="1" t="s">
        <v>249</v>
      </c>
      <c r="F148" s="1">
        <v>97.383057</v>
      </c>
      <c r="G148" s="1">
        <v>25.395994</v>
      </c>
      <c r="H148" s="166"/>
      <c r="I148" s="166"/>
      <c r="AR148" s="166"/>
      <c r="AS148" s="166"/>
    </row>
    <row r="149" spans="1:45" ht="15">
      <c r="A149" s="1" t="s">
        <v>433</v>
      </c>
      <c r="B149" s="1" t="s">
        <v>241</v>
      </c>
      <c r="C149" s="1"/>
      <c r="D149" s="1" t="s">
        <v>252</v>
      </c>
      <c r="E149" s="1" t="s">
        <v>251</v>
      </c>
      <c r="F149" s="1">
        <v>97.381195</v>
      </c>
      <c r="G149" s="1">
        <v>25.396364</v>
      </c>
      <c r="H149" s="166"/>
      <c r="I149" s="166"/>
      <c r="AR149" s="166"/>
      <c r="AS149" s="166"/>
    </row>
    <row r="150" spans="1:45" ht="15">
      <c r="A150" s="1" t="s">
        <v>433</v>
      </c>
      <c r="B150" s="1" t="s">
        <v>241</v>
      </c>
      <c r="C150" s="1"/>
      <c r="D150" s="1" t="s">
        <v>258</v>
      </c>
      <c r="E150" s="1" t="s">
        <v>257</v>
      </c>
      <c r="F150" s="1">
        <v>97.389778</v>
      </c>
      <c r="G150" s="1">
        <v>25.417734</v>
      </c>
      <c r="H150" s="166"/>
      <c r="I150" s="166"/>
      <c r="AR150" s="166"/>
      <c r="AS150" s="166"/>
    </row>
    <row r="151" spans="1:45" ht="15">
      <c r="A151" s="1" t="s">
        <v>433</v>
      </c>
      <c r="B151" s="1" t="s">
        <v>241</v>
      </c>
      <c r="C151" s="1"/>
      <c r="D151" s="1" t="s">
        <v>260</v>
      </c>
      <c r="E151" s="1" t="s">
        <v>259</v>
      </c>
      <c r="F151" s="1">
        <v>97.373361</v>
      </c>
      <c r="G151" s="1">
        <v>25.403477</v>
      </c>
      <c r="H151" s="166"/>
      <c r="I151" s="166"/>
      <c r="AR151" s="166"/>
      <c r="AS151" s="166"/>
    </row>
    <row r="152" spans="1:45" ht="15">
      <c r="A152" s="1" t="s">
        <v>433</v>
      </c>
      <c r="B152" s="1" t="s">
        <v>241</v>
      </c>
      <c r="C152" s="1"/>
      <c r="D152" s="1" t="s">
        <v>262</v>
      </c>
      <c r="E152" s="1" t="s">
        <v>261</v>
      </c>
      <c r="F152" s="1">
        <v>97.405121</v>
      </c>
      <c r="G152" s="1">
        <v>25.365891</v>
      </c>
      <c r="H152" s="166"/>
      <c r="I152" s="166"/>
      <c r="AR152" s="166"/>
      <c r="AS152" s="166"/>
    </row>
    <row r="153" spans="1:45" ht="15">
      <c r="A153" s="1" t="s">
        <v>433</v>
      </c>
      <c r="B153" s="1" t="s">
        <v>241</v>
      </c>
      <c r="C153" s="1"/>
      <c r="D153" s="1" t="s">
        <v>244</v>
      </c>
      <c r="E153" s="1" t="s">
        <v>243</v>
      </c>
      <c r="F153" s="1">
        <v>97.409317</v>
      </c>
      <c r="G153" s="1">
        <v>25.36219</v>
      </c>
      <c r="H153" s="166"/>
      <c r="I153" s="166"/>
      <c r="AR153" s="166"/>
      <c r="AS153" s="166"/>
    </row>
    <row r="154" spans="1:45" ht="15">
      <c r="A154" s="1" t="s">
        <v>433</v>
      </c>
      <c r="B154" s="1" t="s">
        <v>241</v>
      </c>
      <c r="C154" s="1"/>
      <c r="D154" s="1" t="s">
        <v>290</v>
      </c>
      <c r="E154" s="1" t="s">
        <v>289</v>
      </c>
      <c r="F154" s="1">
        <v>97.40892</v>
      </c>
      <c r="G154" s="1">
        <v>25.355984</v>
      </c>
      <c r="H154" s="166"/>
      <c r="I154" s="166"/>
      <c r="AR154" s="166"/>
      <c r="AS154" s="166"/>
    </row>
    <row r="155" spans="1:45" ht="15">
      <c r="A155" s="1" t="s">
        <v>433</v>
      </c>
      <c r="B155" s="1" t="s">
        <v>241</v>
      </c>
      <c r="C155" s="1"/>
      <c r="D155" s="1" t="s">
        <v>264</v>
      </c>
      <c r="E155" s="1" t="s">
        <v>263</v>
      </c>
      <c r="F155" s="1">
        <v>97.411606</v>
      </c>
      <c r="G155" s="1">
        <v>25.360476</v>
      </c>
      <c r="H155" s="166"/>
      <c r="I155" s="166"/>
      <c r="AR155" s="166"/>
      <c r="AS155" s="166"/>
    </row>
    <row r="156" spans="1:45" ht="15">
      <c r="A156" s="1" t="s">
        <v>433</v>
      </c>
      <c r="B156" s="1" t="s">
        <v>241</v>
      </c>
      <c r="C156" s="1"/>
      <c r="D156" s="1" t="s">
        <v>266</v>
      </c>
      <c r="E156" s="1" t="s">
        <v>265</v>
      </c>
      <c r="F156" s="1">
        <v>97.418694</v>
      </c>
      <c r="G156" s="1">
        <v>25.428911</v>
      </c>
      <c r="H156" s="166"/>
      <c r="I156" s="166"/>
      <c r="AR156" s="166"/>
      <c r="AS156" s="166"/>
    </row>
    <row r="157" spans="1:45" ht="15">
      <c r="A157" s="1" t="s">
        <v>433</v>
      </c>
      <c r="B157" s="1" t="s">
        <v>241</v>
      </c>
      <c r="C157" s="1"/>
      <c r="D157" s="1" t="s">
        <v>268</v>
      </c>
      <c r="E157" s="1" t="s">
        <v>267</v>
      </c>
      <c r="F157" s="1">
        <v>97.28473</v>
      </c>
      <c r="G157" s="1">
        <v>25.37402</v>
      </c>
      <c r="H157" s="166"/>
      <c r="I157" s="166"/>
      <c r="AR157" s="166"/>
      <c r="AS157" s="166"/>
    </row>
    <row r="158" spans="1:45" ht="15">
      <c r="A158" s="1" t="s">
        <v>433</v>
      </c>
      <c r="B158" s="1" t="s">
        <v>241</v>
      </c>
      <c r="C158" s="1"/>
      <c r="D158" s="1" t="s">
        <v>270</v>
      </c>
      <c r="E158" s="1" t="s">
        <v>269</v>
      </c>
      <c r="F158" s="1">
        <v>97.29108</v>
      </c>
      <c r="G158" s="1">
        <v>25.37118</v>
      </c>
      <c r="H158" s="166"/>
      <c r="I158" s="166"/>
      <c r="AR158" s="166"/>
      <c r="AS158" s="166"/>
    </row>
    <row r="159" spans="1:45" ht="15">
      <c r="A159" s="1" t="s">
        <v>433</v>
      </c>
      <c r="B159" s="1" t="s">
        <v>241</v>
      </c>
      <c r="C159" s="1"/>
      <c r="D159" s="1" t="s">
        <v>272</v>
      </c>
      <c r="E159" s="1" t="s">
        <v>271</v>
      </c>
      <c r="F159" s="1">
        <v>97.376672</v>
      </c>
      <c r="G159" s="1">
        <v>25.387863</v>
      </c>
      <c r="H159" s="166"/>
      <c r="I159" s="166"/>
      <c r="AR159" s="166"/>
      <c r="AS159" s="166"/>
    </row>
    <row r="160" spans="1:45" ht="15">
      <c r="A160" s="1" t="s">
        <v>433</v>
      </c>
      <c r="B160" s="1" t="s">
        <v>241</v>
      </c>
      <c r="C160" s="1"/>
      <c r="D160" s="1" t="s">
        <v>276</v>
      </c>
      <c r="E160" s="1" t="s">
        <v>275</v>
      </c>
      <c r="F160" s="1">
        <v>97.35938</v>
      </c>
      <c r="G160" s="1">
        <v>25.41177</v>
      </c>
      <c r="H160" s="166"/>
      <c r="I160" s="166"/>
      <c r="AR160" s="166"/>
      <c r="AS160" s="166"/>
    </row>
    <row r="161" spans="1:45" ht="15">
      <c r="A161" s="1" t="s">
        <v>433</v>
      </c>
      <c r="B161" s="1" t="s">
        <v>241</v>
      </c>
      <c r="C161" s="1"/>
      <c r="D161" s="1" t="s">
        <v>274</v>
      </c>
      <c r="E161" s="1" t="s">
        <v>273</v>
      </c>
      <c r="F161" s="1">
        <v>97.394547</v>
      </c>
      <c r="G161" s="1">
        <v>25.422194</v>
      </c>
      <c r="H161" s="166"/>
      <c r="I161" s="166"/>
      <c r="AR161" s="166"/>
      <c r="AS161" s="166"/>
    </row>
    <row r="162" spans="1:45" ht="15">
      <c r="A162" s="1" t="s">
        <v>433</v>
      </c>
      <c r="B162" s="1" t="s">
        <v>241</v>
      </c>
      <c r="C162" s="1"/>
      <c r="D162" s="1" t="s">
        <v>373</v>
      </c>
      <c r="E162" s="1" t="s">
        <v>372</v>
      </c>
      <c r="F162" s="1"/>
      <c r="G162" s="1"/>
      <c r="H162" s="166"/>
      <c r="I162" s="166"/>
      <c r="AR162" s="166"/>
      <c r="AS162" s="166"/>
    </row>
    <row r="163" spans="1:45" ht="15">
      <c r="A163" s="1" t="s">
        <v>433</v>
      </c>
      <c r="B163" s="1" t="s">
        <v>241</v>
      </c>
      <c r="C163" s="1"/>
      <c r="D163" s="1" t="s">
        <v>278</v>
      </c>
      <c r="E163" s="1" t="s">
        <v>277</v>
      </c>
      <c r="F163" s="1"/>
      <c r="G163" s="1"/>
      <c r="H163" s="166"/>
      <c r="I163" s="166"/>
      <c r="AR163" s="166"/>
      <c r="AS163" s="166"/>
    </row>
    <row r="164" spans="1:45" ht="15">
      <c r="A164" s="1" t="s">
        <v>433</v>
      </c>
      <c r="B164" s="1" t="s">
        <v>241</v>
      </c>
      <c r="C164" s="1"/>
      <c r="D164" s="1" t="s">
        <v>282</v>
      </c>
      <c r="E164" s="1" t="s">
        <v>281</v>
      </c>
      <c r="F164" s="1">
        <v>97.399628</v>
      </c>
      <c r="G164" s="1">
        <v>25.412313</v>
      </c>
      <c r="H164" s="166"/>
      <c r="I164" s="166"/>
      <c r="AR164" s="166"/>
      <c r="AS164" s="166"/>
    </row>
    <row r="165" spans="1:45" ht="15">
      <c r="A165" s="1" t="s">
        <v>433</v>
      </c>
      <c r="B165" s="1" t="s">
        <v>241</v>
      </c>
      <c r="C165" s="1"/>
      <c r="D165" s="1" t="s">
        <v>284</v>
      </c>
      <c r="E165" s="1" t="s">
        <v>283</v>
      </c>
      <c r="F165" s="1">
        <v>97.418005</v>
      </c>
      <c r="G165" s="1">
        <v>25.423817</v>
      </c>
      <c r="H165" s="166"/>
      <c r="I165" s="166"/>
      <c r="AR165" s="166"/>
      <c r="AS165" s="166"/>
    </row>
    <row r="166" spans="1:45" ht="15">
      <c r="A166" s="1" t="s">
        <v>433</v>
      </c>
      <c r="B166" s="1" t="s">
        <v>241</v>
      </c>
      <c r="C166" s="1"/>
      <c r="D166" s="1" t="s">
        <v>286</v>
      </c>
      <c r="E166" s="1" t="s">
        <v>285</v>
      </c>
      <c r="F166" s="1">
        <v>97.419403</v>
      </c>
      <c r="G166" s="1">
        <v>25.440928</v>
      </c>
      <c r="H166" s="166"/>
      <c r="I166" s="166"/>
      <c r="AR166" s="166"/>
      <c r="AS166" s="166"/>
    </row>
    <row r="167" spans="1:45" ht="15">
      <c r="A167" s="1" t="s">
        <v>433</v>
      </c>
      <c r="B167" s="1" t="s">
        <v>241</v>
      </c>
      <c r="C167" s="1"/>
      <c r="D167" s="1" t="s">
        <v>242</v>
      </c>
      <c r="E167" s="1" t="s">
        <v>240</v>
      </c>
      <c r="F167" s="1">
        <v>97.386719</v>
      </c>
      <c r="G167" s="1">
        <v>25.415482</v>
      </c>
      <c r="H167" s="166"/>
      <c r="I167" s="166"/>
      <c r="AR167" s="166"/>
      <c r="AS167" s="166"/>
    </row>
    <row r="168" spans="1:45" ht="15">
      <c r="A168" s="1" t="s">
        <v>433</v>
      </c>
      <c r="B168" s="1" t="s">
        <v>241</v>
      </c>
      <c r="C168" s="1"/>
      <c r="D168" s="1" t="s">
        <v>246</v>
      </c>
      <c r="E168" s="1" t="s">
        <v>245</v>
      </c>
      <c r="F168" s="1">
        <v>97.3884</v>
      </c>
      <c r="G168" s="1">
        <v>25.40982</v>
      </c>
      <c r="H168" s="166"/>
      <c r="I168" s="166"/>
      <c r="AR168" s="166"/>
      <c r="AS168" s="166"/>
    </row>
    <row r="169" spans="1:45" ht="15">
      <c r="A169" s="1" t="s">
        <v>433</v>
      </c>
      <c r="B169" s="1" t="s">
        <v>241</v>
      </c>
      <c r="C169" s="1"/>
      <c r="D169" s="1" t="s">
        <v>254</v>
      </c>
      <c r="E169" s="1" t="s">
        <v>253</v>
      </c>
      <c r="F169" s="1">
        <v>97.379272</v>
      </c>
      <c r="G169" s="1">
        <v>25.401075</v>
      </c>
      <c r="H169" s="166"/>
      <c r="I169" s="166"/>
      <c r="AR169" s="166"/>
      <c r="AS169" s="166"/>
    </row>
    <row r="170" spans="1:45" ht="15">
      <c r="A170" s="1" t="s">
        <v>433</v>
      </c>
      <c r="B170" s="1" t="s">
        <v>241</v>
      </c>
      <c r="C170" s="1"/>
      <c r="D170" s="1" t="s">
        <v>256</v>
      </c>
      <c r="E170" s="1" t="s">
        <v>255</v>
      </c>
      <c r="F170" s="1">
        <v>97.377663</v>
      </c>
      <c r="G170" s="1">
        <v>25.404753</v>
      </c>
      <c r="H170" s="166"/>
      <c r="I170" s="166"/>
      <c r="AR170" s="166"/>
      <c r="AS170" s="166"/>
    </row>
    <row r="171" spans="1:45" ht="15">
      <c r="A171" s="1" t="s">
        <v>433</v>
      </c>
      <c r="B171" s="1" t="s">
        <v>241</v>
      </c>
      <c r="C171" s="1"/>
      <c r="D171" s="1" t="s">
        <v>280</v>
      </c>
      <c r="E171" s="1" t="s">
        <v>279</v>
      </c>
      <c r="F171" s="1">
        <v>97.382192</v>
      </c>
      <c r="G171" s="1">
        <v>25.404015</v>
      </c>
      <c r="H171" s="166"/>
      <c r="I171" s="166"/>
      <c r="AR171" s="166"/>
      <c r="AS171" s="166"/>
    </row>
    <row r="172" spans="1:45" ht="15">
      <c r="A172" s="1" t="s">
        <v>433</v>
      </c>
      <c r="B172" s="1" t="s">
        <v>241</v>
      </c>
      <c r="C172" s="1"/>
      <c r="D172" s="1" t="s">
        <v>288</v>
      </c>
      <c r="E172" s="1" t="s">
        <v>287</v>
      </c>
      <c r="F172" s="1">
        <v>97.403408</v>
      </c>
      <c r="G172" s="1">
        <v>25.377546</v>
      </c>
      <c r="H172" s="166"/>
      <c r="I172" s="166"/>
      <c r="AR172" s="166"/>
      <c r="AS172" s="166"/>
    </row>
    <row r="173" spans="1:45" ht="15">
      <c r="A173" s="1" t="s">
        <v>433</v>
      </c>
      <c r="B173" s="1" t="s">
        <v>294</v>
      </c>
      <c r="C173" s="1"/>
      <c r="D173" s="1" t="s">
        <v>301</v>
      </c>
      <c r="E173" s="1" t="s">
        <v>443</v>
      </c>
      <c r="F173" s="1"/>
      <c r="G173" s="1"/>
      <c r="H173" s="166"/>
      <c r="I173" s="166"/>
      <c r="AR173" s="166"/>
      <c r="AS173" s="166"/>
    </row>
    <row r="174" spans="1:45" ht="15">
      <c r="A174" s="1" t="s">
        <v>433</v>
      </c>
      <c r="B174" s="1" t="s">
        <v>294</v>
      </c>
      <c r="C174" s="1"/>
      <c r="D174" s="1" t="s">
        <v>299</v>
      </c>
      <c r="E174" s="1" t="s">
        <v>298</v>
      </c>
      <c r="F174" s="1"/>
      <c r="G174" s="1"/>
      <c r="H174" s="166"/>
      <c r="I174" s="166"/>
      <c r="AR174" s="166"/>
      <c r="AS174" s="166"/>
    </row>
    <row r="175" spans="1:45" ht="15">
      <c r="A175" s="1" t="s">
        <v>433</v>
      </c>
      <c r="B175" s="1" t="s">
        <v>294</v>
      </c>
      <c r="C175" s="1"/>
      <c r="D175" s="1" t="s">
        <v>297</v>
      </c>
      <c r="E175" s="1" t="s">
        <v>296</v>
      </c>
      <c r="F175" s="1"/>
      <c r="G175" s="1"/>
      <c r="H175" s="166"/>
      <c r="I175" s="166"/>
      <c r="AR175" s="166"/>
      <c r="AS175" s="166"/>
    </row>
    <row r="176" spans="1:45" ht="15">
      <c r="A176" s="1" t="s">
        <v>433</v>
      </c>
      <c r="B176" s="1" t="s">
        <v>294</v>
      </c>
      <c r="C176" s="1"/>
      <c r="D176" s="1" t="s">
        <v>295</v>
      </c>
      <c r="E176" s="1" t="s">
        <v>293</v>
      </c>
      <c r="F176" s="1"/>
      <c r="G176" s="1"/>
      <c r="H176" s="166"/>
      <c r="I176" s="166"/>
      <c r="AR176" s="166"/>
      <c r="AS176" s="166"/>
    </row>
    <row r="177" spans="1:45" ht="15">
      <c r="A177" s="1" t="s">
        <v>433</v>
      </c>
      <c r="B177" s="1" t="s">
        <v>294</v>
      </c>
      <c r="C177" s="1"/>
      <c r="D177" s="1" t="s">
        <v>426</v>
      </c>
      <c r="E177" s="1" t="s">
        <v>300</v>
      </c>
      <c r="F177" s="1"/>
      <c r="G177" s="1"/>
      <c r="H177" s="166"/>
      <c r="I177" s="166"/>
      <c r="AR177" s="166"/>
      <c r="AS177" s="166"/>
    </row>
    <row r="178" spans="1:45" ht="15">
      <c r="A178" s="1" t="s">
        <v>433</v>
      </c>
      <c r="B178" s="1" t="s">
        <v>294</v>
      </c>
      <c r="C178" s="1"/>
      <c r="D178" s="1" t="s">
        <v>427</v>
      </c>
      <c r="E178" s="1" t="s">
        <v>444</v>
      </c>
      <c r="F178" s="1"/>
      <c r="G178" s="1"/>
      <c r="H178" s="166"/>
      <c r="I178" s="166"/>
      <c r="AR178" s="166"/>
      <c r="AS178" s="166"/>
    </row>
    <row r="179" spans="1:45" ht="15">
      <c r="A179" s="1" t="s">
        <v>433</v>
      </c>
      <c r="B179" s="1" t="s">
        <v>294</v>
      </c>
      <c r="C179" s="1"/>
      <c r="D179" s="1" t="s">
        <v>398</v>
      </c>
      <c r="E179" s="1" t="s">
        <v>397</v>
      </c>
      <c r="F179" s="1"/>
      <c r="G179" s="1"/>
      <c r="H179" s="166"/>
      <c r="I179" s="166"/>
      <c r="AR179" s="166"/>
      <c r="AS179" s="166"/>
    </row>
    <row r="180" spans="1:45" ht="15">
      <c r="A180" s="1" t="s">
        <v>433</v>
      </c>
      <c r="B180" s="1" t="s">
        <v>303</v>
      </c>
      <c r="C180" s="1"/>
      <c r="D180" s="1" t="s">
        <v>304</v>
      </c>
      <c r="E180" s="1" t="s">
        <v>302</v>
      </c>
      <c r="F180" s="1"/>
      <c r="G180" s="1"/>
      <c r="H180" s="166"/>
      <c r="I180" s="166"/>
      <c r="AR180" s="166"/>
      <c r="AS180" s="166"/>
    </row>
    <row r="181" spans="1:45" ht="15">
      <c r="A181" s="1" t="s">
        <v>433</v>
      </c>
      <c r="B181" s="1" t="s">
        <v>306</v>
      </c>
      <c r="C181" s="1"/>
      <c r="D181" s="1" t="s">
        <v>307</v>
      </c>
      <c r="E181" s="1" t="s">
        <v>305</v>
      </c>
      <c r="F181" s="1"/>
      <c r="G181" s="1"/>
      <c r="H181" s="166"/>
      <c r="I181" s="166"/>
      <c r="AR181" s="166"/>
      <c r="AS181" s="166"/>
    </row>
    <row r="182" spans="1:45" ht="15">
      <c r="A182" s="1" t="s">
        <v>433</v>
      </c>
      <c r="B182" s="1" t="s">
        <v>308</v>
      </c>
      <c r="C182" s="1"/>
      <c r="D182" s="1" t="s">
        <v>310</v>
      </c>
      <c r="E182" s="1" t="s">
        <v>309</v>
      </c>
      <c r="F182" s="1"/>
      <c r="G182" s="1"/>
      <c r="H182" s="166"/>
      <c r="I182" s="166"/>
      <c r="AR182" s="166"/>
      <c r="AS182" s="166"/>
    </row>
    <row r="183" spans="1:45" ht="15">
      <c r="A183" s="1" t="s">
        <v>433</v>
      </c>
      <c r="B183" s="1" t="s">
        <v>308</v>
      </c>
      <c r="C183" s="1"/>
      <c r="D183" s="1" t="s">
        <v>14</v>
      </c>
      <c r="E183" s="1" t="s">
        <v>448</v>
      </c>
      <c r="F183" s="1"/>
      <c r="G183" s="1"/>
      <c r="H183" s="166"/>
      <c r="I183" s="166"/>
      <c r="AR183" s="166"/>
      <c r="AS183" s="166"/>
    </row>
    <row r="184" spans="1:45" ht="15">
      <c r="A184" s="1" t="s">
        <v>433</v>
      </c>
      <c r="B184" s="1" t="s">
        <v>308</v>
      </c>
      <c r="C184" s="1"/>
      <c r="D184" s="1" t="s">
        <v>312</v>
      </c>
      <c r="E184" s="1" t="s">
        <v>311</v>
      </c>
      <c r="F184" s="1"/>
      <c r="G184" s="1"/>
      <c r="H184" s="166"/>
      <c r="I184" s="166"/>
      <c r="AR184" s="166"/>
      <c r="AS184" s="166"/>
    </row>
    <row r="185" spans="1:45" ht="15">
      <c r="A185" s="1" t="s">
        <v>433</v>
      </c>
      <c r="B185" s="1" t="s">
        <v>308</v>
      </c>
      <c r="C185" s="1"/>
      <c r="D185" s="1" t="s">
        <v>314</v>
      </c>
      <c r="E185" s="1" t="s">
        <v>313</v>
      </c>
      <c r="F185" s="1"/>
      <c r="G185" s="1"/>
      <c r="H185" s="166"/>
      <c r="I185" s="166"/>
      <c r="AR185" s="166"/>
      <c r="AS185" s="166"/>
    </row>
    <row r="186" spans="1:45" ht="15">
      <c r="A186" s="1" t="s">
        <v>433</v>
      </c>
      <c r="B186" s="1" t="s">
        <v>316</v>
      </c>
      <c r="C186" s="1"/>
      <c r="D186" s="1" t="s">
        <v>369</v>
      </c>
      <c r="E186" s="1" t="s">
        <v>368</v>
      </c>
      <c r="F186" s="1">
        <v>97.421104</v>
      </c>
      <c r="G186" s="1">
        <v>25.328987</v>
      </c>
      <c r="H186" s="166"/>
      <c r="I186" s="166"/>
      <c r="AR186" s="166"/>
      <c r="AS186" s="166"/>
    </row>
    <row r="187" spans="1:45" ht="15">
      <c r="A187" s="1" t="s">
        <v>433</v>
      </c>
      <c r="B187" s="1" t="s">
        <v>316</v>
      </c>
      <c r="C187" s="1"/>
      <c r="D187" s="1" t="s">
        <v>371</v>
      </c>
      <c r="E187" s="1" t="s">
        <v>370</v>
      </c>
      <c r="F187" s="1"/>
      <c r="G187" s="1"/>
      <c r="H187" s="166"/>
      <c r="I187" s="166"/>
      <c r="AR187" s="166"/>
      <c r="AS187" s="166"/>
    </row>
    <row r="188" spans="1:45" ht="15">
      <c r="A188" s="1" t="s">
        <v>433</v>
      </c>
      <c r="B188" s="1" t="s">
        <v>316</v>
      </c>
      <c r="C188" s="1"/>
      <c r="D188" s="1" t="s">
        <v>367</v>
      </c>
      <c r="E188" s="1" t="s">
        <v>366</v>
      </c>
      <c r="F188" s="1">
        <v>97.837778</v>
      </c>
      <c r="G188" s="1">
        <v>25.273333</v>
      </c>
      <c r="H188" s="166"/>
      <c r="I188" s="166"/>
      <c r="AR188" s="166"/>
      <c r="AS188" s="166"/>
    </row>
    <row r="189" spans="1:45" ht="15">
      <c r="A189" s="1" t="s">
        <v>433</v>
      </c>
      <c r="B189" s="1" t="s">
        <v>316</v>
      </c>
      <c r="C189" s="1"/>
      <c r="D189" s="1" t="s">
        <v>341</v>
      </c>
      <c r="E189" s="1" t="s">
        <v>340</v>
      </c>
      <c r="F189" s="1">
        <v>97.915833</v>
      </c>
      <c r="G189" s="1">
        <v>25.220278</v>
      </c>
      <c r="H189" s="166"/>
      <c r="I189" s="166"/>
      <c r="AR189" s="166"/>
      <c r="AS189" s="166"/>
    </row>
    <row r="190" spans="1:45" ht="15">
      <c r="A190" s="1" t="s">
        <v>433</v>
      </c>
      <c r="B190" s="1" t="s">
        <v>316</v>
      </c>
      <c r="C190" s="1"/>
      <c r="D190" s="1" t="s">
        <v>319</v>
      </c>
      <c r="E190" s="1" t="s">
        <v>318</v>
      </c>
      <c r="F190" s="1">
        <v>97.408302</v>
      </c>
      <c r="G190" s="1">
        <v>25.324568</v>
      </c>
      <c r="H190" s="166"/>
      <c r="I190" s="166"/>
      <c r="AR190" s="166"/>
      <c r="AS190" s="166"/>
    </row>
    <row r="191" spans="1:45" ht="15">
      <c r="A191" s="1" t="s">
        <v>433</v>
      </c>
      <c r="B191" s="1" t="s">
        <v>316</v>
      </c>
      <c r="C191" s="1"/>
      <c r="D191" s="1" t="s">
        <v>343</v>
      </c>
      <c r="E191" s="1" t="s">
        <v>342</v>
      </c>
      <c r="F191" s="1">
        <v>97.807183</v>
      </c>
      <c r="G191" s="1">
        <v>25.200333</v>
      </c>
      <c r="H191" s="166"/>
      <c r="I191" s="166"/>
      <c r="AR191" s="166"/>
      <c r="AS191" s="166"/>
    </row>
    <row r="192" spans="1:45" ht="15">
      <c r="A192" s="1" t="s">
        <v>433</v>
      </c>
      <c r="B192" s="1" t="s">
        <v>316</v>
      </c>
      <c r="C192" s="1"/>
      <c r="D192" s="1" t="s">
        <v>321</v>
      </c>
      <c r="E192" s="1" t="s">
        <v>320</v>
      </c>
      <c r="F192" s="1">
        <v>97.551717</v>
      </c>
      <c r="G192" s="1">
        <v>24.746817</v>
      </c>
      <c r="H192" s="166"/>
      <c r="I192" s="166"/>
      <c r="AR192" s="166"/>
      <c r="AS192" s="166"/>
    </row>
    <row r="193" spans="1:45" ht="15">
      <c r="A193" s="1" t="s">
        <v>433</v>
      </c>
      <c r="B193" s="1" t="s">
        <v>316</v>
      </c>
      <c r="C193" s="1"/>
      <c r="D193" s="1" t="s">
        <v>347</v>
      </c>
      <c r="E193" s="1" t="s">
        <v>346</v>
      </c>
      <c r="F193" s="1"/>
      <c r="G193" s="1"/>
      <c r="H193" s="166"/>
      <c r="I193" s="166"/>
      <c r="AR193" s="166"/>
      <c r="AS193" s="166"/>
    </row>
    <row r="194" spans="1:45" ht="15">
      <c r="A194" s="1" t="s">
        <v>433</v>
      </c>
      <c r="B194" s="1" t="s">
        <v>316</v>
      </c>
      <c r="C194" s="1"/>
      <c r="D194" s="1" t="s">
        <v>327</v>
      </c>
      <c r="E194" s="1" t="s">
        <v>326</v>
      </c>
      <c r="F194" s="1">
        <v>97.451965</v>
      </c>
      <c r="G194" s="1">
        <v>25.356632</v>
      </c>
      <c r="H194" s="166"/>
      <c r="I194" s="166"/>
      <c r="AR194" s="166"/>
      <c r="AS194" s="166"/>
    </row>
    <row r="195" spans="1:45" ht="15">
      <c r="A195" s="1" t="s">
        <v>433</v>
      </c>
      <c r="B195" s="1" t="s">
        <v>316</v>
      </c>
      <c r="C195" s="1"/>
      <c r="D195" s="1" t="s">
        <v>329</v>
      </c>
      <c r="E195" s="1" t="s">
        <v>328</v>
      </c>
      <c r="F195" s="1">
        <v>97.71523</v>
      </c>
      <c r="G195" s="1">
        <v>24.98025</v>
      </c>
      <c r="H195" s="166"/>
      <c r="I195" s="166"/>
      <c r="AR195" s="166"/>
      <c r="AS195" s="166"/>
    </row>
    <row r="196" spans="1:45" ht="15">
      <c r="A196" s="1" t="s">
        <v>433</v>
      </c>
      <c r="B196" s="1" t="s">
        <v>316</v>
      </c>
      <c r="C196" s="1"/>
      <c r="D196" s="1" t="s">
        <v>335</v>
      </c>
      <c r="E196" s="1" t="s">
        <v>334</v>
      </c>
      <c r="F196" s="1">
        <v>97.435234</v>
      </c>
      <c r="G196" s="1">
        <v>25.425276</v>
      </c>
      <c r="H196" s="166"/>
      <c r="I196" s="166"/>
      <c r="AR196" s="166"/>
      <c r="AS196" s="166"/>
    </row>
    <row r="197" spans="1:45" ht="15">
      <c r="A197" s="1" t="s">
        <v>433</v>
      </c>
      <c r="B197" s="1" t="s">
        <v>316</v>
      </c>
      <c r="C197" s="1"/>
      <c r="D197" s="1" t="s">
        <v>337</v>
      </c>
      <c r="E197" s="1" t="s">
        <v>336</v>
      </c>
      <c r="F197" s="1">
        <v>97.43845</v>
      </c>
      <c r="G197" s="1">
        <v>25.4159</v>
      </c>
      <c r="H197" s="166"/>
      <c r="I197" s="166"/>
      <c r="AR197" s="166"/>
      <c r="AS197" s="166"/>
    </row>
    <row r="198" spans="1:45" ht="15">
      <c r="A198" s="1" t="s">
        <v>433</v>
      </c>
      <c r="B198" s="1" t="s">
        <v>316</v>
      </c>
      <c r="C198" s="1"/>
      <c r="D198" s="1" t="s">
        <v>331</v>
      </c>
      <c r="E198" s="1" t="s">
        <v>330</v>
      </c>
      <c r="F198" s="1">
        <v>97.437435</v>
      </c>
      <c r="G198" s="1">
        <v>25.411413</v>
      </c>
      <c r="H198" s="166"/>
      <c r="I198" s="166"/>
      <c r="AR198" s="166"/>
      <c r="AS198" s="166"/>
    </row>
    <row r="199" spans="1:45" ht="15">
      <c r="A199" s="1" t="s">
        <v>433</v>
      </c>
      <c r="B199" s="1" t="s">
        <v>316</v>
      </c>
      <c r="C199" s="1"/>
      <c r="D199" s="1" t="s">
        <v>333</v>
      </c>
      <c r="E199" s="1" t="s">
        <v>332</v>
      </c>
      <c r="F199" s="1">
        <v>97.426297</v>
      </c>
      <c r="G199" s="1">
        <v>25.409566</v>
      </c>
      <c r="H199" s="166"/>
      <c r="I199" s="166"/>
      <c r="AR199" s="166"/>
      <c r="AS199" s="166"/>
    </row>
    <row r="200" spans="1:45" ht="15">
      <c r="A200" s="1" t="s">
        <v>433</v>
      </c>
      <c r="B200" s="1" t="s">
        <v>316</v>
      </c>
      <c r="C200" s="1"/>
      <c r="D200" s="1" t="s">
        <v>339</v>
      </c>
      <c r="E200" s="1" t="s">
        <v>338</v>
      </c>
      <c r="F200" s="1">
        <v>97.550267</v>
      </c>
      <c r="G200" s="1">
        <v>24.747967</v>
      </c>
      <c r="H200" s="166"/>
      <c r="I200" s="166"/>
      <c r="AR200" s="166"/>
      <c r="AS200" s="166"/>
    </row>
    <row r="201" spans="1:45" ht="15">
      <c r="A201" s="1" t="s">
        <v>433</v>
      </c>
      <c r="B201" s="1" t="s">
        <v>316</v>
      </c>
      <c r="C201" s="1"/>
      <c r="D201" s="1" t="s">
        <v>351</v>
      </c>
      <c r="E201" s="1" t="s">
        <v>350</v>
      </c>
      <c r="F201" s="1">
        <v>97.345039</v>
      </c>
      <c r="G201" s="1">
        <v>25.351965</v>
      </c>
      <c r="H201" s="166"/>
      <c r="I201" s="166"/>
      <c r="AR201" s="166"/>
      <c r="AS201" s="166"/>
    </row>
    <row r="202" spans="1:45" ht="15">
      <c r="A202" s="1" t="s">
        <v>433</v>
      </c>
      <c r="B202" s="1" t="s">
        <v>316</v>
      </c>
      <c r="C202" s="1"/>
      <c r="D202" s="1" t="s">
        <v>353</v>
      </c>
      <c r="E202" s="1" t="s">
        <v>352</v>
      </c>
      <c r="F202" s="1">
        <v>97.751389</v>
      </c>
      <c r="G202" s="1">
        <v>24.831944</v>
      </c>
      <c r="H202" s="166"/>
      <c r="I202" s="166"/>
      <c r="AR202" s="166"/>
      <c r="AS202" s="166"/>
    </row>
    <row r="203" spans="1:45" ht="15">
      <c r="A203" s="1" t="s">
        <v>433</v>
      </c>
      <c r="B203" s="1" t="s">
        <v>316</v>
      </c>
      <c r="C203" s="1"/>
      <c r="D203" s="1" t="s">
        <v>363</v>
      </c>
      <c r="E203" s="1" t="s">
        <v>362</v>
      </c>
      <c r="F203" s="1">
        <v>97.990556</v>
      </c>
      <c r="G203" s="1">
        <v>25.265278</v>
      </c>
      <c r="H203" s="166"/>
      <c r="I203" s="166"/>
      <c r="AR203" s="166"/>
      <c r="AS203" s="166"/>
    </row>
    <row r="204" spans="1:45" ht="15">
      <c r="A204" s="1" t="s">
        <v>433</v>
      </c>
      <c r="B204" s="1" t="s">
        <v>316</v>
      </c>
      <c r="C204" s="1"/>
      <c r="D204" s="1" t="s">
        <v>325</v>
      </c>
      <c r="E204" s="1" t="s">
        <v>324</v>
      </c>
      <c r="F204" s="1">
        <v>97.441483</v>
      </c>
      <c r="G204" s="1">
        <v>25.354884</v>
      </c>
      <c r="H204" s="166"/>
      <c r="I204" s="166"/>
      <c r="AR204" s="166"/>
      <c r="AS204" s="166"/>
    </row>
    <row r="205" spans="1:45" ht="15">
      <c r="A205" s="1" t="s">
        <v>433</v>
      </c>
      <c r="B205" s="1" t="s">
        <v>316</v>
      </c>
      <c r="C205" s="1"/>
      <c r="D205" s="1" t="s">
        <v>349</v>
      </c>
      <c r="E205" s="1" t="s">
        <v>348</v>
      </c>
      <c r="F205" s="1">
        <v>97.438271</v>
      </c>
      <c r="G205" s="1">
        <v>25.351655</v>
      </c>
      <c r="H205" s="166"/>
      <c r="I205" s="166"/>
      <c r="AR205" s="166"/>
      <c r="AS205" s="166"/>
    </row>
    <row r="206" spans="1:7" ht="16.5" customHeight="1">
      <c r="A206" s="1" t="s">
        <v>433</v>
      </c>
      <c r="B206" s="1" t="s">
        <v>316</v>
      </c>
      <c r="C206" s="1"/>
      <c r="D206" s="1" t="s">
        <v>345</v>
      </c>
      <c r="E206" s="1" t="s">
        <v>344</v>
      </c>
      <c r="F206" s="1">
        <v>97.437569</v>
      </c>
      <c r="G206" s="1">
        <v>25.346004</v>
      </c>
    </row>
    <row r="207" spans="1:7" ht="16.5" customHeight="1">
      <c r="A207" s="1" t="s">
        <v>433</v>
      </c>
      <c r="B207" s="1" t="s">
        <v>316</v>
      </c>
      <c r="C207" s="1"/>
      <c r="D207" s="1" t="s">
        <v>359</v>
      </c>
      <c r="E207" s="1" t="s">
        <v>358</v>
      </c>
      <c r="F207" s="1">
        <v>97.432495</v>
      </c>
      <c r="G207" s="1">
        <v>25.350809</v>
      </c>
    </row>
    <row r="208" spans="1:7" ht="16.5" customHeight="1">
      <c r="A208" s="1" t="s">
        <v>433</v>
      </c>
      <c r="B208" s="1" t="s">
        <v>316</v>
      </c>
      <c r="C208" s="1"/>
      <c r="D208" s="1" t="s">
        <v>355</v>
      </c>
      <c r="E208" s="1" t="s">
        <v>354</v>
      </c>
      <c r="F208" s="1">
        <v>98.025663</v>
      </c>
      <c r="G208" s="1">
        <v>25.418084</v>
      </c>
    </row>
    <row r="209" spans="1:7" ht="16.5" customHeight="1">
      <c r="A209" s="1" t="s">
        <v>433</v>
      </c>
      <c r="B209" s="1" t="s">
        <v>316</v>
      </c>
      <c r="C209" s="1"/>
      <c r="D209" s="1" t="s">
        <v>357</v>
      </c>
      <c r="E209" s="1" t="s">
        <v>356</v>
      </c>
      <c r="F209" s="1">
        <v>97.42796</v>
      </c>
      <c r="G209" s="1">
        <v>25.33351</v>
      </c>
    </row>
    <row r="210" spans="1:7" ht="16.5" customHeight="1">
      <c r="A210" s="1" t="s">
        <v>433</v>
      </c>
      <c r="B210" s="1" t="s">
        <v>316</v>
      </c>
      <c r="C210" s="1"/>
      <c r="D210" s="1" t="s">
        <v>323</v>
      </c>
      <c r="E210" s="1" t="s">
        <v>322</v>
      </c>
      <c r="F210" s="1">
        <v>97.443702</v>
      </c>
      <c r="G210" s="1">
        <v>25.351242</v>
      </c>
    </row>
    <row r="211" spans="1:7" ht="16.5" customHeight="1">
      <c r="A211" s="1" t="s">
        <v>433</v>
      </c>
      <c r="B211" s="1" t="s">
        <v>316</v>
      </c>
      <c r="C211" s="1"/>
      <c r="D211" s="1" t="s">
        <v>317</v>
      </c>
      <c r="E211" s="1" t="s">
        <v>315</v>
      </c>
      <c r="F211" s="1">
        <v>97.438259</v>
      </c>
      <c r="G211" s="1">
        <v>25.355842</v>
      </c>
    </row>
    <row r="212" spans="1:7" ht="16.5" customHeight="1">
      <c r="A212" s="1" t="s">
        <v>433</v>
      </c>
      <c r="B212" s="1" t="s">
        <v>316</v>
      </c>
      <c r="C212" s="1"/>
      <c r="D212" s="1" t="s">
        <v>361</v>
      </c>
      <c r="E212" s="1" t="s">
        <v>360</v>
      </c>
      <c r="F212" s="1">
        <v>97.567117</v>
      </c>
      <c r="G212" s="1">
        <v>24.768383</v>
      </c>
    </row>
    <row r="213" spans="1:7" ht="16.5" customHeight="1">
      <c r="A213" s="1" t="s">
        <v>433</v>
      </c>
      <c r="B213" s="1" t="s">
        <v>316</v>
      </c>
      <c r="C213" s="1"/>
      <c r="D213" s="1" t="s">
        <v>365</v>
      </c>
      <c r="E213" s="1" t="s">
        <v>364</v>
      </c>
      <c r="F213" s="1">
        <v>97.75679</v>
      </c>
      <c r="G213" s="1">
        <v>25.10667</v>
      </c>
    </row>
    <row r="214" spans="1:7" ht="16.5" customHeight="1">
      <c r="A214" s="1" t="s">
        <v>434</v>
      </c>
      <c r="B214" s="1" t="s">
        <v>452</v>
      </c>
      <c r="C214" s="1"/>
      <c r="D214" s="1" t="s">
        <v>468</v>
      </c>
      <c r="E214" s="1" t="s">
        <v>557</v>
      </c>
      <c r="F214" s="1" t="s">
        <v>651</v>
      </c>
      <c r="G214" s="1" t="s">
        <v>652</v>
      </c>
    </row>
    <row r="215" spans="1:7" ht="16.5" customHeight="1">
      <c r="A215" s="1" t="s">
        <v>434</v>
      </c>
      <c r="B215" s="1" t="s">
        <v>452</v>
      </c>
      <c r="C215" s="1"/>
      <c r="D215" s="1" t="s">
        <v>469</v>
      </c>
      <c r="E215" s="1" t="s">
        <v>558</v>
      </c>
      <c r="F215" s="1" t="s">
        <v>653</v>
      </c>
      <c r="G215" s="1" t="s">
        <v>654</v>
      </c>
    </row>
    <row r="216" spans="1:7" ht="16.5" customHeight="1">
      <c r="A216" s="1" t="s">
        <v>434</v>
      </c>
      <c r="B216" s="1" t="s">
        <v>452</v>
      </c>
      <c r="C216" s="1"/>
      <c r="D216" s="1" t="s">
        <v>470</v>
      </c>
      <c r="E216" s="1" t="s">
        <v>559</v>
      </c>
      <c r="F216" s="1" t="s">
        <v>655</v>
      </c>
      <c r="G216" s="1" t="s">
        <v>656</v>
      </c>
    </row>
    <row r="217" spans="1:7" ht="16.5" customHeight="1">
      <c r="A217" s="1" t="s">
        <v>434</v>
      </c>
      <c r="B217" s="1" t="s">
        <v>452</v>
      </c>
      <c r="C217" s="1"/>
      <c r="D217" s="1" t="s">
        <v>471</v>
      </c>
      <c r="E217" s="1" t="s">
        <v>560</v>
      </c>
      <c r="F217" s="1" t="s">
        <v>657</v>
      </c>
      <c r="G217" s="1" t="s">
        <v>658</v>
      </c>
    </row>
    <row r="218" spans="1:7" ht="16.5" customHeight="1">
      <c r="A218" s="1" t="s">
        <v>434</v>
      </c>
      <c r="B218" s="1" t="s">
        <v>452</v>
      </c>
      <c r="C218" s="1"/>
      <c r="D218" s="1" t="s">
        <v>472</v>
      </c>
      <c r="E218" s="1" t="s">
        <v>561</v>
      </c>
      <c r="F218" s="1" t="s">
        <v>659</v>
      </c>
      <c r="G218" s="1" t="s">
        <v>660</v>
      </c>
    </row>
    <row r="219" spans="1:7" ht="16.5" customHeight="1">
      <c r="A219" s="1" t="s">
        <v>434</v>
      </c>
      <c r="B219" s="1" t="s">
        <v>452</v>
      </c>
      <c r="C219" s="1"/>
      <c r="D219" s="1" t="s">
        <v>473</v>
      </c>
      <c r="E219" s="1" t="s">
        <v>562</v>
      </c>
      <c r="F219" s="1" t="s">
        <v>661</v>
      </c>
      <c r="G219" s="1" t="s">
        <v>662</v>
      </c>
    </row>
    <row r="220" spans="1:7" ht="16.5" customHeight="1">
      <c r="A220" s="1" t="s">
        <v>434</v>
      </c>
      <c r="B220" s="1" t="s">
        <v>452</v>
      </c>
      <c r="C220" s="1"/>
      <c r="D220" s="1" t="s">
        <v>474</v>
      </c>
      <c r="E220" s="1" t="s">
        <v>563</v>
      </c>
      <c r="F220" s="1" t="s">
        <v>663</v>
      </c>
      <c r="G220" s="1" t="s">
        <v>664</v>
      </c>
    </row>
    <row r="221" spans="1:7" ht="16.5" customHeight="1">
      <c r="A221" s="1" t="s">
        <v>434</v>
      </c>
      <c r="B221" s="1" t="s">
        <v>452</v>
      </c>
      <c r="C221" s="1"/>
      <c r="D221" s="1" t="s">
        <v>475</v>
      </c>
      <c r="E221" s="1" t="s">
        <v>564</v>
      </c>
      <c r="F221" s="1" t="s">
        <v>665</v>
      </c>
      <c r="G221" s="1" t="s">
        <v>666</v>
      </c>
    </row>
    <row r="222" spans="1:7" ht="16.5" customHeight="1">
      <c r="A222" s="1" t="s">
        <v>434</v>
      </c>
      <c r="B222" s="1" t="s">
        <v>453</v>
      </c>
      <c r="C222" s="1"/>
      <c r="D222" s="1" t="s">
        <v>476</v>
      </c>
      <c r="E222" s="1" t="s">
        <v>565</v>
      </c>
      <c r="F222" s="1" t="s">
        <v>667</v>
      </c>
      <c r="G222" s="1" t="s">
        <v>668</v>
      </c>
    </row>
    <row r="223" spans="1:7" ht="16.5" customHeight="1">
      <c r="A223" s="1" t="s">
        <v>434</v>
      </c>
      <c r="B223" s="1" t="s">
        <v>453</v>
      </c>
      <c r="C223" s="1"/>
      <c r="D223" s="1" t="s">
        <v>477</v>
      </c>
      <c r="E223" s="1" t="s">
        <v>566</v>
      </c>
      <c r="F223" s="1" t="s">
        <v>669</v>
      </c>
      <c r="G223" s="1" t="s">
        <v>670</v>
      </c>
    </row>
    <row r="224" spans="1:7" ht="16.5" customHeight="1">
      <c r="A224" s="1" t="s">
        <v>434</v>
      </c>
      <c r="B224" s="1" t="s">
        <v>453</v>
      </c>
      <c r="C224" s="1"/>
      <c r="D224" s="1" t="s">
        <v>478</v>
      </c>
      <c r="E224" s="1" t="s">
        <v>567</v>
      </c>
      <c r="F224" s="1" t="s">
        <v>671</v>
      </c>
      <c r="G224" s="1" t="s">
        <v>672</v>
      </c>
    </row>
    <row r="225" spans="1:7" ht="16.5" customHeight="1">
      <c r="A225" s="1" t="s">
        <v>434</v>
      </c>
      <c r="B225" s="1" t="s">
        <v>453</v>
      </c>
      <c r="C225" s="1"/>
      <c r="D225" s="1" t="s">
        <v>479</v>
      </c>
      <c r="E225" s="1" t="s">
        <v>568</v>
      </c>
      <c r="F225" s="1" t="s">
        <v>673</v>
      </c>
      <c r="G225" s="1" t="s">
        <v>674</v>
      </c>
    </row>
    <row r="226" spans="1:7" ht="16.5" customHeight="1">
      <c r="A226" s="1" t="s">
        <v>434</v>
      </c>
      <c r="B226" s="1" t="s">
        <v>454</v>
      </c>
      <c r="C226" s="1"/>
      <c r="D226" s="1" t="s">
        <v>480</v>
      </c>
      <c r="E226" s="1" t="s">
        <v>569</v>
      </c>
      <c r="F226" s="1" t="s">
        <v>675</v>
      </c>
      <c r="G226" s="1" t="s">
        <v>676</v>
      </c>
    </row>
    <row r="227" spans="1:7" ht="16.5" customHeight="1">
      <c r="A227" s="1" t="s">
        <v>434</v>
      </c>
      <c r="B227" s="1" t="s">
        <v>454</v>
      </c>
      <c r="C227" s="1"/>
      <c r="D227" s="1" t="s">
        <v>481</v>
      </c>
      <c r="E227" s="1" t="s">
        <v>570</v>
      </c>
      <c r="F227" s="1" t="s">
        <v>677</v>
      </c>
      <c r="G227" s="1" t="s">
        <v>678</v>
      </c>
    </row>
    <row r="228" spans="1:7" ht="16.5" customHeight="1">
      <c r="A228" s="1" t="s">
        <v>434</v>
      </c>
      <c r="B228" s="1" t="s">
        <v>455</v>
      </c>
      <c r="C228" s="1"/>
      <c r="D228" s="1" t="s">
        <v>482</v>
      </c>
      <c r="E228" s="1" t="s">
        <v>571</v>
      </c>
      <c r="F228" s="1" t="s">
        <v>679</v>
      </c>
      <c r="G228" s="1" t="s">
        <v>680</v>
      </c>
    </row>
    <row r="229" spans="1:7" ht="16.5" customHeight="1">
      <c r="A229" s="1" t="s">
        <v>434</v>
      </c>
      <c r="B229" s="1" t="s">
        <v>455</v>
      </c>
      <c r="C229" s="1"/>
      <c r="D229" s="1" t="s">
        <v>483</v>
      </c>
      <c r="E229" s="1" t="s">
        <v>572</v>
      </c>
      <c r="F229" s="1" t="s">
        <v>681</v>
      </c>
      <c r="G229" s="1" t="s">
        <v>682</v>
      </c>
    </row>
    <row r="230" spans="1:7" ht="16.5" customHeight="1">
      <c r="A230" s="1" t="s">
        <v>434</v>
      </c>
      <c r="B230" s="1" t="s">
        <v>455</v>
      </c>
      <c r="C230" s="1"/>
      <c r="D230" s="1" t="s">
        <v>484</v>
      </c>
      <c r="E230" s="1" t="s">
        <v>573</v>
      </c>
      <c r="F230" s="1" t="s">
        <v>683</v>
      </c>
      <c r="G230" s="1" t="s">
        <v>684</v>
      </c>
    </row>
    <row r="231" spans="1:7" ht="16.5" customHeight="1">
      <c r="A231" s="1" t="s">
        <v>434</v>
      </c>
      <c r="B231" s="1" t="s">
        <v>455</v>
      </c>
      <c r="C231" s="1"/>
      <c r="D231" s="1" t="s">
        <v>485</v>
      </c>
      <c r="E231" s="1" t="s">
        <v>574</v>
      </c>
      <c r="F231" s="1" t="s">
        <v>685</v>
      </c>
      <c r="G231" s="1" t="s">
        <v>686</v>
      </c>
    </row>
    <row r="232" spans="1:7" ht="16.5" customHeight="1">
      <c r="A232" s="1" t="s">
        <v>434</v>
      </c>
      <c r="B232" s="1" t="s">
        <v>455</v>
      </c>
      <c r="C232" s="1"/>
      <c r="D232" s="1" t="s">
        <v>486</v>
      </c>
      <c r="E232" s="1" t="s">
        <v>575</v>
      </c>
      <c r="F232" s="1" t="s">
        <v>687</v>
      </c>
      <c r="G232" s="1" t="s">
        <v>688</v>
      </c>
    </row>
    <row r="233" spans="1:7" ht="16.5" customHeight="1">
      <c r="A233" s="1" t="s">
        <v>434</v>
      </c>
      <c r="B233" s="1" t="s">
        <v>456</v>
      </c>
      <c r="C233" s="1"/>
      <c r="D233" s="1" t="s">
        <v>487</v>
      </c>
      <c r="E233" s="1" t="s">
        <v>576</v>
      </c>
      <c r="F233" s="1" t="s">
        <v>689</v>
      </c>
      <c r="G233" s="1" t="s">
        <v>690</v>
      </c>
    </row>
    <row r="234" spans="1:7" ht="16.5" customHeight="1">
      <c r="A234" s="1" t="s">
        <v>434</v>
      </c>
      <c r="B234" s="1" t="s">
        <v>456</v>
      </c>
      <c r="C234" s="1"/>
      <c r="D234" s="1" t="s">
        <v>488</v>
      </c>
      <c r="E234" s="1" t="s">
        <v>577</v>
      </c>
      <c r="F234" s="1" t="s">
        <v>691</v>
      </c>
      <c r="G234" s="1" t="s">
        <v>692</v>
      </c>
    </row>
    <row r="235" spans="1:7" ht="16.5" customHeight="1">
      <c r="A235" s="1" t="s">
        <v>434</v>
      </c>
      <c r="B235" s="1" t="s">
        <v>456</v>
      </c>
      <c r="C235" s="1"/>
      <c r="D235" s="1" t="s">
        <v>489</v>
      </c>
      <c r="E235" s="1" t="s">
        <v>578</v>
      </c>
      <c r="F235" s="1" t="s">
        <v>693</v>
      </c>
      <c r="G235" s="1" t="s">
        <v>694</v>
      </c>
    </row>
    <row r="236" spans="1:7" ht="16.5" customHeight="1">
      <c r="A236" s="1" t="s">
        <v>434</v>
      </c>
      <c r="B236" s="1" t="s">
        <v>456</v>
      </c>
      <c r="C236" s="1"/>
      <c r="D236" s="1" t="s">
        <v>490</v>
      </c>
      <c r="E236" s="1" t="s">
        <v>579</v>
      </c>
      <c r="F236" s="1" t="s">
        <v>695</v>
      </c>
      <c r="G236" s="1" t="s">
        <v>696</v>
      </c>
    </row>
    <row r="237" spans="1:7" ht="16.5" customHeight="1">
      <c r="A237" s="1" t="s">
        <v>434</v>
      </c>
      <c r="B237" s="1" t="s">
        <v>456</v>
      </c>
      <c r="C237" s="1"/>
      <c r="D237" s="1" t="s">
        <v>491</v>
      </c>
      <c r="E237" s="1" t="s">
        <v>580</v>
      </c>
      <c r="F237" s="1" t="s">
        <v>697</v>
      </c>
      <c r="G237" s="1" t="s">
        <v>698</v>
      </c>
    </row>
    <row r="238" spans="1:7" ht="16.5" customHeight="1">
      <c r="A238" s="1" t="s">
        <v>434</v>
      </c>
      <c r="B238" s="1" t="s">
        <v>456</v>
      </c>
      <c r="C238" s="1"/>
      <c r="D238" s="1" t="s">
        <v>492</v>
      </c>
      <c r="E238" s="1" t="s">
        <v>581</v>
      </c>
      <c r="F238" s="1" t="s">
        <v>699</v>
      </c>
      <c r="G238" s="1" t="s">
        <v>700</v>
      </c>
    </row>
    <row r="239" spans="1:7" ht="16.5" customHeight="1">
      <c r="A239" s="1" t="s">
        <v>434</v>
      </c>
      <c r="B239" s="1" t="s">
        <v>456</v>
      </c>
      <c r="C239" s="1"/>
      <c r="D239" s="1" t="s">
        <v>493</v>
      </c>
      <c r="E239" s="1" t="s">
        <v>582</v>
      </c>
      <c r="F239" s="1" t="s">
        <v>701</v>
      </c>
      <c r="G239" s="1" t="s">
        <v>702</v>
      </c>
    </row>
    <row r="240" spans="1:7" ht="16.5" customHeight="1">
      <c r="A240" s="1" t="s">
        <v>434</v>
      </c>
      <c r="B240" s="1" t="s">
        <v>456</v>
      </c>
      <c r="C240" s="1"/>
      <c r="D240" s="1" t="s">
        <v>494</v>
      </c>
      <c r="E240" s="1" t="s">
        <v>583</v>
      </c>
      <c r="F240" s="1" t="s">
        <v>703</v>
      </c>
      <c r="G240" s="1" t="s">
        <v>704</v>
      </c>
    </row>
    <row r="241" spans="1:7" ht="16.5" customHeight="1">
      <c r="A241" s="1" t="s">
        <v>434</v>
      </c>
      <c r="B241" s="1" t="s">
        <v>456</v>
      </c>
      <c r="C241" s="1"/>
      <c r="D241" s="1" t="s">
        <v>495</v>
      </c>
      <c r="E241" s="1" t="s">
        <v>584</v>
      </c>
      <c r="F241" s="1" t="s">
        <v>705</v>
      </c>
      <c r="G241" s="1" t="s">
        <v>706</v>
      </c>
    </row>
    <row r="242" spans="1:7" ht="16.5" customHeight="1">
      <c r="A242" s="1" t="s">
        <v>434</v>
      </c>
      <c r="B242" s="1" t="s">
        <v>456</v>
      </c>
      <c r="C242" s="1"/>
      <c r="D242" s="1" t="s">
        <v>496</v>
      </c>
      <c r="E242" s="1" t="s">
        <v>585</v>
      </c>
      <c r="F242" s="1" t="s">
        <v>707</v>
      </c>
      <c r="G242" s="1" t="s">
        <v>708</v>
      </c>
    </row>
    <row r="243" spans="1:7" ht="16.5" customHeight="1">
      <c r="A243" s="1" t="s">
        <v>434</v>
      </c>
      <c r="B243" s="1" t="s">
        <v>456</v>
      </c>
      <c r="C243" s="1"/>
      <c r="D243" s="1" t="s">
        <v>497</v>
      </c>
      <c r="E243" s="1" t="s">
        <v>586</v>
      </c>
      <c r="F243" s="1" t="s">
        <v>709</v>
      </c>
      <c r="G243" s="1" t="s">
        <v>710</v>
      </c>
    </row>
    <row r="244" spans="1:7" ht="16.5" customHeight="1">
      <c r="A244" s="1" t="s">
        <v>434</v>
      </c>
      <c r="B244" s="1" t="s">
        <v>457</v>
      </c>
      <c r="C244" s="1"/>
      <c r="D244" s="1" t="s">
        <v>498</v>
      </c>
      <c r="E244" s="1" t="s">
        <v>587</v>
      </c>
      <c r="F244" s="1" t="s">
        <v>711</v>
      </c>
      <c r="G244" s="1" t="s">
        <v>712</v>
      </c>
    </row>
    <row r="245" spans="1:7" ht="16.5" customHeight="1">
      <c r="A245" s="1" t="s">
        <v>434</v>
      </c>
      <c r="B245" s="1" t="s">
        <v>457</v>
      </c>
      <c r="C245" s="1"/>
      <c r="D245" s="1" t="s">
        <v>499</v>
      </c>
      <c r="E245" s="1" t="s">
        <v>588</v>
      </c>
      <c r="F245" s="1" t="s">
        <v>713</v>
      </c>
      <c r="G245" s="1" t="s">
        <v>714</v>
      </c>
    </row>
    <row r="246" spans="1:7" ht="16.5" customHeight="1">
      <c r="A246" s="1" t="s">
        <v>434</v>
      </c>
      <c r="B246" s="1" t="s">
        <v>457</v>
      </c>
      <c r="C246" s="1"/>
      <c r="D246" s="1" t="s">
        <v>500</v>
      </c>
      <c r="E246" s="1" t="s">
        <v>589</v>
      </c>
      <c r="F246" s="1" t="s">
        <v>715</v>
      </c>
      <c r="G246" s="1" t="s">
        <v>716</v>
      </c>
    </row>
    <row r="247" spans="1:7" ht="16.5" customHeight="1">
      <c r="A247" s="1" t="s">
        <v>434</v>
      </c>
      <c r="B247" s="1" t="s">
        <v>457</v>
      </c>
      <c r="C247" s="1"/>
      <c r="D247" s="1" t="s">
        <v>501</v>
      </c>
      <c r="E247" s="1" t="s">
        <v>590</v>
      </c>
      <c r="F247" s="1" t="s">
        <v>916</v>
      </c>
      <c r="G247" s="1" t="s">
        <v>917</v>
      </c>
    </row>
    <row r="248" spans="1:7" ht="16.5" customHeight="1">
      <c r="A248" s="1" t="s">
        <v>434</v>
      </c>
      <c r="B248" s="1" t="s">
        <v>458</v>
      </c>
      <c r="C248" s="1"/>
      <c r="D248" s="1" t="s">
        <v>502</v>
      </c>
      <c r="E248" s="1" t="s">
        <v>591</v>
      </c>
      <c r="F248" s="1" t="s">
        <v>717</v>
      </c>
      <c r="G248" s="1" t="s">
        <v>718</v>
      </c>
    </row>
    <row r="249" spans="1:7" ht="16.5" customHeight="1">
      <c r="A249" s="1" t="s">
        <v>434</v>
      </c>
      <c r="B249" s="1" t="s">
        <v>458</v>
      </c>
      <c r="C249" s="1"/>
      <c r="D249" s="1" t="s">
        <v>503</v>
      </c>
      <c r="E249" s="1" t="s">
        <v>592</v>
      </c>
      <c r="F249" s="1" t="s">
        <v>719</v>
      </c>
      <c r="G249" s="1" t="s">
        <v>720</v>
      </c>
    </row>
    <row r="250" spans="1:7" ht="16.5" customHeight="1">
      <c r="A250" s="1" t="s">
        <v>434</v>
      </c>
      <c r="B250" s="1" t="s">
        <v>459</v>
      </c>
      <c r="C250" s="1"/>
      <c r="D250" s="1" t="s">
        <v>504</v>
      </c>
      <c r="E250" s="1" t="s">
        <v>593</v>
      </c>
      <c r="F250" s="1" t="s">
        <v>721</v>
      </c>
      <c r="G250" s="1" t="s">
        <v>722</v>
      </c>
    </row>
    <row r="251" spans="1:7" ht="16.5" customHeight="1">
      <c r="A251" s="1" t="s">
        <v>434</v>
      </c>
      <c r="B251" s="1" t="s">
        <v>459</v>
      </c>
      <c r="C251" s="1"/>
      <c r="D251" s="1" t="s">
        <v>505</v>
      </c>
      <c r="E251" s="1" t="s">
        <v>594</v>
      </c>
      <c r="F251" s="1" t="s">
        <v>915</v>
      </c>
      <c r="G251" s="1" t="s">
        <v>915</v>
      </c>
    </row>
    <row r="252" spans="1:7" ht="16.5" customHeight="1">
      <c r="A252" s="1" t="s">
        <v>434</v>
      </c>
      <c r="B252" s="1" t="s">
        <v>460</v>
      </c>
      <c r="C252" s="1"/>
      <c r="D252" s="1" t="s">
        <v>506</v>
      </c>
      <c r="E252" s="1" t="s">
        <v>595</v>
      </c>
      <c r="F252" s="1" t="s">
        <v>723</v>
      </c>
      <c r="G252" s="1" t="s">
        <v>724</v>
      </c>
    </row>
    <row r="253" spans="1:7" ht="16.5" customHeight="1">
      <c r="A253" s="1" t="s">
        <v>434</v>
      </c>
      <c r="B253" s="1" t="s">
        <v>460</v>
      </c>
      <c r="C253" s="1"/>
      <c r="D253" s="1" t="s">
        <v>507</v>
      </c>
      <c r="E253" s="1" t="s">
        <v>596</v>
      </c>
      <c r="F253" s="1" t="s">
        <v>725</v>
      </c>
      <c r="G253" s="1" t="s">
        <v>726</v>
      </c>
    </row>
    <row r="254" spans="1:7" ht="16.5" customHeight="1">
      <c r="A254" s="1" t="s">
        <v>434</v>
      </c>
      <c r="B254" s="1" t="s">
        <v>460</v>
      </c>
      <c r="C254" s="1"/>
      <c r="D254" s="1" t="s">
        <v>508</v>
      </c>
      <c r="E254" s="1" t="s">
        <v>597</v>
      </c>
      <c r="F254" s="1" t="s">
        <v>727</v>
      </c>
      <c r="G254" s="1" t="s">
        <v>728</v>
      </c>
    </row>
    <row r="255" spans="1:7" ht="16.5" customHeight="1">
      <c r="A255" s="1" t="s">
        <v>434</v>
      </c>
      <c r="B255" s="1" t="s">
        <v>460</v>
      </c>
      <c r="C255" s="1"/>
      <c r="D255" s="1" t="s">
        <v>509</v>
      </c>
      <c r="E255" s="1" t="s">
        <v>598</v>
      </c>
      <c r="F255" s="1" t="s">
        <v>729</v>
      </c>
      <c r="G255" s="1" t="s">
        <v>730</v>
      </c>
    </row>
    <row r="256" spans="1:7" ht="16.5" customHeight="1">
      <c r="A256" s="1" t="s">
        <v>434</v>
      </c>
      <c r="B256" s="1" t="s">
        <v>460</v>
      </c>
      <c r="C256" s="1"/>
      <c r="D256" s="1" t="s">
        <v>510</v>
      </c>
      <c r="E256" s="1" t="s">
        <v>599</v>
      </c>
      <c r="F256" s="1" t="s">
        <v>731</v>
      </c>
      <c r="G256" s="1" t="s">
        <v>732</v>
      </c>
    </row>
    <row r="257" spans="1:7" ht="16.5" customHeight="1">
      <c r="A257" s="1" t="s">
        <v>434</v>
      </c>
      <c r="B257" s="1" t="s">
        <v>460</v>
      </c>
      <c r="C257" s="1"/>
      <c r="D257" s="1" t="s">
        <v>511</v>
      </c>
      <c r="E257" s="1" t="s">
        <v>600</v>
      </c>
      <c r="F257" s="1" t="s">
        <v>733</v>
      </c>
      <c r="G257" s="1" t="s">
        <v>734</v>
      </c>
    </row>
    <row r="258" spans="1:7" ht="16.5" customHeight="1">
      <c r="A258" s="1" t="s">
        <v>434</v>
      </c>
      <c r="B258" s="1" t="s">
        <v>460</v>
      </c>
      <c r="C258" s="1"/>
      <c r="D258" s="1" t="s">
        <v>512</v>
      </c>
      <c r="E258" s="1" t="s">
        <v>601</v>
      </c>
      <c r="F258" s="1" t="s">
        <v>735</v>
      </c>
      <c r="G258" s="1" t="s">
        <v>736</v>
      </c>
    </row>
    <row r="259" spans="1:7" ht="16.5" customHeight="1">
      <c r="A259" s="1" t="s">
        <v>434</v>
      </c>
      <c r="B259" s="1" t="s">
        <v>460</v>
      </c>
      <c r="C259" s="1"/>
      <c r="D259" s="1" t="s">
        <v>513</v>
      </c>
      <c r="E259" s="1" t="s">
        <v>602</v>
      </c>
      <c r="F259" s="1" t="s">
        <v>737</v>
      </c>
      <c r="G259" s="1" t="s">
        <v>738</v>
      </c>
    </row>
    <row r="260" spans="1:7" ht="16.5" customHeight="1">
      <c r="A260" s="1" t="s">
        <v>434</v>
      </c>
      <c r="B260" s="1" t="s">
        <v>460</v>
      </c>
      <c r="C260" s="1"/>
      <c r="D260" s="1" t="s">
        <v>514</v>
      </c>
      <c r="E260" s="1" t="s">
        <v>603</v>
      </c>
      <c r="F260" s="1" t="s">
        <v>739</v>
      </c>
      <c r="G260" s="1" t="s">
        <v>740</v>
      </c>
    </row>
    <row r="261" spans="1:7" ht="16.5" customHeight="1">
      <c r="A261" s="1" t="s">
        <v>434</v>
      </c>
      <c r="B261" s="1" t="s">
        <v>460</v>
      </c>
      <c r="C261" s="1"/>
      <c r="D261" s="1" t="s">
        <v>515</v>
      </c>
      <c r="E261" s="1" t="s">
        <v>604</v>
      </c>
      <c r="F261" s="1" t="s">
        <v>741</v>
      </c>
      <c r="G261" s="1" t="s">
        <v>742</v>
      </c>
    </row>
    <row r="262" spans="1:7" ht="16.5" customHeight="1">
      <c r="A262" s="1" t="s">
        <v>434</v>
      </c>
      <c r="B262" s="1" t="s">
        <v>460</v>
      </c>
      <c r="C262" s="1"/>
      <c r="D262" s="1" t="s">
        <v>516</v>
      </c>
      <c r="E262" s="1" t="s">
        <v>605</v>
      </c>
      <c r="F262" s="1" t="s">
        <v>743</v>
      </c>
      <c r="G262" s="1" t="s">
        <v>744</v>
      </c>
    </row>
    <row r="263" spans="1:7" ht="16.5" customHeight="1">
      <c r="A263" s="1" t="s">
        <v>434</v>
      </c>
      <c r="B263" s="1" t="s">
        <v>460</v>
      </c>
      <c r="C263" s="1"/>
      <c r="D263" s="1" t="s">
        <v>517</v>
      </c>
      <c r="E263" s="1" t="s">
        <v>606</v>
      </c>
      <c r="F263" s="1" t="s">
        <v>745</v>
      </c>
      <c r="G263" s="1" t="s">
        <v>746</v>
      </c>
    </row>
    <row r="264" spans="1:7" ht="16.5" customHeight="1">
      <c r="A264" s="1" t="s">
        <v>434</v>
      </c>
      <c r="B264" s="1" t="s">
        <v>460</v>
      </c>
      <c r="C264" s="1"/>
      <c r="D264" s="1" t="s">
        <v>518</v>
      </c>
      <c r="E264" s="1" t="s">
        <v>607</v>
      </c>
      <c r="F264" s="1" t="s">
        <v>747</v>
      </c>
      <c r="G264" s="1" t="s">
        <v>748</v>
      </c>
    </row>
    <row r="265" spans="1:7" ht="16.5" customHeight="1">
      <c r="A265" s="105" t="s">
        <v>434</v>
      </c>
      <c r="B265" s="105" t="s">
        <v>460</v>
      </c>
      <c r="C265" s="105"/>
      <c r="D265" s="105" t="s">
        <v>519</v>
      </c>
      <c r="E265" s="105" t="s">
        <v>608</v>
      </c>
      <c r="F265" s="105" t="s">
        <v>749</v>
      </c>
      <c r="G265" s="105" t="s">
        <v>750</v>
      </c>
    </row>
    <row r="266" spans="1:7" ht="16.5" customHeight="1">
      <c r="A266" s="1" t="s">
        <v>434</v>
      </c>
      <c r="B266" s="1" t="s">
        <v>460</v>
      </c>
      <c r="C266" s="1"/>
      <c r="D266" s="1" t="s">
        <v>520</v>
      </c>
      <c r="E266" s="1" t="s">
        <v>609</v>
      </c>
      <c r="F266" s="1" t="s">
        <v>751</v>
      </c>
      <c r="G266" s="1" t="s">
        <v>752</v>
      </c>
    </row>
    <row r="267" spans="1:7" ht="16.5" customHeight="1">
      <c r="A267" s="1" t="s">
        <v>434</v>
      </c>
      <c r="B267" s="1" t="s">
        <v>460</v>
      </c>
      <c r="C267" s="1"/>
      <c r="D267" s="1" t="s">
        <v>521</v>
      </c>
      <c r="E267" s="1" t="s">
        <v>610</v>
      </c>
      <c r="F267" s="1" t="s">
        <v>753</v>
      </c>
      <c r="G267" s="1" t="s">
        <v>754</v>
      </c>
    </row>
    <row r="268" spans="1:7" ht="16.5" customHeight="1">
      <c r="A268" s="1" t="s">
        <v>434</v>
      </c>
      <c r="B268" s="1" t="s">
        <v>460</v>
      </c>
      <c r="C268" s="1"/>
      <c r="D268" s="1" t="s">
        <v>522</v>
      </c>
      <c r="E268" s="1" t="s">
        <v>611</v>
      </c>
      <c r="F268" s="1" t="s">
        <v>755</v>
      </c>
      <c r="G268" s="1" t="s">
        <v>756</v>
      </c>
    </row>
    <row r="269" spans="1:7" ht="16.5" customHeight="1">
      <c r="A269" s="1" t="s">
        <v>434</v>
      </c>
      <c r="B269" s="1" t="s">
        <v>460</v>
      </c>
      <c r="C269" s="1"/>
      <c r="D269" s="1" t="s">
        <v>523</v>
      </c>
      <c r="E269" s="1" t="s">
        <v>612</v>
      </c>
      <c r="F269" s="1" t="s">
        <v>757</v>
      </c>
      <c r="G269" s="1" t="s">
        <v>758</v>
      </c>
    </row>
    <row r="270" spans="1:7" ht="16.5" customHeight="1">
      <c r="A270" s="1" t="s">
        <v>434</v>
      </c>
      <c r="B270" s="1" t="s">
        <v>460</v>
      </c>
      <c r="C270" s="1"/>
      <c r="D270" s="1" t="s">
        <v>524</v>
      </c>
      <c r="E270" s="1" t="s">
        <v>613</v>
      </c>
      <c r="F270" s="1" t="s">
        <v>759</v>
      </c>
      <c r="G270" s="1" t="s">
        <v>760</v>
      </c>
    </row>
    <row r="271" spans="1:7" ht="16.5" customHeight="1">
      <c r="A271" s="1" t="s">
        <v>434</v>
      </c>
      <c r="B271" s="1" t="s">
        <v>460</v>
      </c>
      <c r="C271" s="1"/>
      <c r="D271" s="1" t="s">
        <v>525</v>
      </c>
      <c r="E271" s="1" t="s">
        <v>614</v>
      </c>
      <c r="F271" s="1" t="s">
        <v>761</v>
      </c>
      <c r="G271" s="1" t="s">
        <v>762</v>
      </c>
    </row>
    <row r="272" spans="1:7" ht="16.5" customHeight="1">
      <c r="A272" s="105" t="s">
        <v>434</v>
      </c>
      <c r="B272" s="105" t="s">
        <v>460</v>
      </c>
      <c r="C272" s="105"/>
      <c r="D272" s="105" t="s">
        <v>526</v>
      </c>
      <c r="E272" s="105" t="s">
        <v>615</v>
      </c>
      <c r="F272" s="105" t="s">
        <v>763</v>
      </c>
      <c r="G272" s="105" t="s">
        <v>764</v>
      </c>
    </row>
    <row r="273" spans="1:7" ht="16.5" customHeight="1">
      <c r="A273" s="105" t="s">
        <v>434</v>
      </c>
      <c r="B273" s="105" t="s">
        <v>460</v>
      </c>
      <c r="C273" s="105"/>
      <c r="D273" s="105" t="s">
        <v>527</v>
      </c>
      <c r="E273" s="105" t="s">
        <v>616</v>
      </c>
      <c r="F273" s="105" t="s">
        <v>765</v>
      </c>
      <c r="G273" s="105" t="s">
        <v>766</v>
      </c>
    </row>
    <row r="274" spans="1:7" ht="16.5" customHeight="1">
      <c r="A274" s="105" t="s">
        <v>434</v>
      </c>
      <c r="B274" s="105" t="s">
        <v>460</v>
      </c>
      <c r="C274" s="105"/>
      <c r="D274" s="105" t="s">
        <v>528</v>
      </c>
      <c r="E274" s="105" t="s">
        <v>617</v>
      </c>
      <c r="F274" s="105" t="s">
        <v>767</v>
      </c>
      <c r="G274" s="105" t="s">
        <v>768</v>
      </c>
    </row>
    <row r="275" spans="1:7" ht="16.5" customHeight="1">
      <c r="A275" s="105" t="s">
        <v>434</v>
      </c>
      <c r="B275" s="105" t="s">
        <v>460</v>
      </c>
      <c r="C275" s="105"/>
      <c r="D275" s="105" t="s">
        <v>529</v>
      </c>
      <c r="E275" s="105" t="s">
        <v>618</v>
      </c>
      <c r="F275" s="105" t="s">
        <v>769</v>
      </c>
      <c r="G275" s="105" t="s">
        <v>770</v>
      </c>
    </row>
    <row r="276" spans="1:7" ht="16.5" customHeight="1">
      <c r="A276" s="105" t="s">
        <v>434</v>
      </c>
      <c r="B276" s="105" t="s">
        <v>460</v>
      </c>
      <c r="C276" s="105"/>
      <c r="D276" s="105" t="s">
        <v>530</v>
      </c>
      <c r="E276" s="105" t="s">
        <v>619</v>
      </c>
      <c r="F276" s="105" t="s">
        <v>771</v>
      </c>
      <c r="G276" s="105" t="s">
        <v>772</v>
      </c>
    </row>
    <row r="277" spans="1:7" ht="16.5" customHeight="1">
      <c r="A277" s="105" t="s">
        <v>434</v>
      </c>
      <c r="B277" s="105" t="s">
        <v>460</v>
      </c>
      <c r="C277" s="105"/>
      <c r="D277" s="105" t="s">
        <v>531</v>
      </c>
      <c r="E277" s="105" t="s">
        <v>620</v>
      </c>
      <c r="F277" s="105" t="s">
        <v>773</v>
      </c>
      <c r="G277" s="105" t="s">
        <v>774</v>
      </c>
    </row>
    <row r="278" spans="1:7" ht="16.5" customHeight="1">
      <c r="A278" s="105" t="s">
        <v>434</v>
      </c>
      <c r="B278" s="105" t="s">
        <v>460</v>
      </c>
      <c r="C278" s="105"/>
      <c r="D278" s="105" t="s">
        <v>532</v>
      </c>
      <c r="E278" s="105" t="s">
        <v>621</v>
      </c>
      <c r="F278" s="105" t="s">
        <v>775</v>
      </c>
      <c r="G278" s="105" t="s">
        <v>776</v>
      </c>
    </row>
    <row r="279" spans="1:7" ht="16.5" customHeight="1">
      <c r="A279" s="105" t="s">
        <v>434</v>
      </c>
      <c r="B279" s="105" t="s">
        <v>460</v>
      </c>
      <c r="C279" s="105"/>
      <c r="D279" s="105" t="s">
        <v>533</v>
      </c>
      <c r="E279" s="105" t="s">
        <v>622</v>
      </c>
      <c r="F279" s="105" t="s">
        <v>777</v>
      </c>
      <c r="G279" s="105" t="s">
        <v>778</v>
      </c>
    </row>
    <row r="280" spans="1:7" ht="16.5" customHeight="1">
      <c r="A280" s="105" t="s">
        <v>434</v>
      </c>
      <c r="B280" s="105" t="s">
        <v>460</v>
      </c>
      <c r="C280" s="105"/>
      <c r="D280" s="105" t="s">
        <v>534</v>
      </c>
      <c r="E280" s="105" t="s">
        <v>623</v>
      </c>
      <c r="F280" s="105" t="s">
        <v>779</v>
      </c>
      <c r="G280" s="105" t="s">
        <v>780</v>
      </c>
    </row>
    <row r="281" spans="1:7" ht="16.5" customHeight="1">
      <c r="A281" s="105" t="s">
        <v>434</v>
      </c>
      <c r="B281" s="105" t="s">
        <v>460</v>
      </c>
      <c r="C281" s="105"/>
      <c r="D281" s="105" t="s">
        <v>535</v>
      </c>
      <c r="E281" s="105" t="s">
        <v>624</v>
      </c>
      <c r="F281" s="105" t="s">
        <v>781</v>
      </c>
      <c r="G281" s="105" t="s">
        <v>782</v>
      </c>
    </row>
    <row r="282" spans="1:7" ht="16.5" customHeight="1">
      <c r="A282" s="105" t="s">
        <v>434</v>
      </c>
      <c r="B282" s="105" t="s">
        <v>460</v>
      </c>
      <c r="C282" s="105"/>
      <c r="D282" s="105" t="s">
        <v>536</v>
      </c>
      <c r="E282" s="105" t="s">
        <v>625</v>
      </c>
      <c r="F282" s="105" t="s">
        <v>783</v>
      </c>
      <c r="G282" s="105" t="s">
        <v>784</v>
      </c>
    </row>
    <row r="283" spans="1:7" ht="16.5" customHeight="1">
      <c r="A283" s="105" t="s">
        <v>434</v>
      </c>
      <c r="B283" s="105" t="s">
        <v>460</v>
      </c>
      <c r="C283" s="105"/>
      <c r="D283" s="105" t="s">
        <v>537</v>
      </c>
      <c r="E283" s="105" t="s">
        <v>626</v>
      </c>
      <c r="F283" s="105" t="s">
        <v>785</v>
      </c>
      <c r="G283" s="105" t="s">
        <v>786</v>
      </c>
    </row>
    <row r="284" spans="1:7" ht="16.5" customHeight="1">
      <c r="A284" s="105" t="s">
        <v>434</v>
      </c>
      <c r="B284" s="105" t="s">
        <v>460</v>
      </c>
      <c r="C284" s="105"/>
      <c r="D284" s="105" t="s">
        <v>538</v>
      </c>
      <c r="E284" s="105" t="s">
        <v>627</v>
      </c>
      <c r="F284" s="105" t="s">
        <v>787</v>
      </c>
      <c r="G284" s="105" t="s">
        <v>788</v>
      </c>
    </row>
    <row r="285" spans="1:7" ht="16.5" customHeight="1">
      <c r="A285" s="105" t="s">
        <v>434</v>
      </c>
      <c r="B285" s="105" t="s">
        <v>460</v>
      </c>
      <c r="C285" s="105"/>
      <c r="D285" s="105" t="s">
        <v>539</v>
      </c>
      <c r="E285" s="105" t="s">
        <v>628</v>
      </c>
      <c r="F285" s="105" t="s">
        <v>789</v>
      </c>
      <c r="G285" s="105" t="s">
        <v>790</v>
      </c>
    </row>
    <row r="286" spans="1:7" ht="16.5" customHeight="1">
      <c r="A286" s="105" t="s">
        <v>434</v>
      </c>
      <c r="B286" s="105" t="s">
        <v>460</v>
      </c>
      <c r="C286" s="105"/>
      <c r="D286" s="105" t="s">
        <v>540</v>
      </c>
      <c r="E286" s="105" t="s">
        <v>629</v>
      </c>
      <c r="F286" s="105" t="s">
        <v>791</v>
      </c>
      <c r="G286" s="105" t="s">
        <v>792</v>
      </c>
    </row>
    <row r="287" spans="1:7" ht="16.5" customHeight="1">
      <c r="A287" s="105" t="s">
        <v>434</v>
      </c>
      <c r="B287" s="105" t="s">
        <v>460</v>
      </c>
      <c r="C287" s="105"/>
      <c r="D287" s="105" t="s">
        <v>541</v>
      </c>
      <c r="E287" s="105" t="s">
        <v>630</v>
      </c>
      <c r="F287" s="105" t="s">
        <v>793</v>
      </c>
      <c r="G287" s="105" t="s">
        <v>794</v>
      </c>
    </row>
    <row r="288" spans="1:7" ht="18" customHeight="1">
      <c r="A288" s="105" t="s">
        <v>434</v>
      </c>
      <c r="B288" s="105" t="s">
        <v>460</v>
      </c>
      <c r="C288" s="105"/>
      <c r="D288" s="105" t="s">
        <v>542</v>
      </c>
      <c r="E288" s="105" t="s">
        <v>631</v>
      </c>
      <c r="F288" s="105" t="s">
        <v>795</v>
      </c>
      <c r="G288" s="105" t="s">
        <v>796</v>
      </c>
    </row>
    <row r="289" spans="1:7" ht="11.25" customHeight="1">
      <c r="A289" s="105" t="s">
        <v>434</v>
      </c>
      <c r="B289" s="105" t="s">
        <v>461</v>
      </c>
      <c r="C289" s="105"/>
      <c r="D289" s="105" t="s">
        <v>543</v>
      </c>
      <c r="E289" s="105" t="s">
        <v>632</v>
      </c>
      <c r="F289" s="105"/>
      <c r="G289" s="105"/>
    </row>
    <row r="290" spans="1:7" ht="12" customHeight="1">
      <c r="A290" s="1" t="s">
        <v>434</v>
      </c>
      <c r="B290" s="1" t="s">
        <v>461</v>
      </c>
      <c r="C290" s="1"/>
      <c r="D290" s="1" t="s">
        <v>544</v>
      </c>
      <c r="E290" s="1" t="s">
        <v>633</v>
      </c>
      <c r="F290" s="106" t="s">
        <v>918</v>
      </c>
      <c r="G290" s="106" t="s">
        <v>919</v>
      </c>
    </row>
    <row r="291" spans="1:7" ht="15.75" customHeight="1">
      <c r="A291" s="105" t="s">
        <v>434</v>
      </c>
      <c r="B291" s="105" t="s">
        <v>461</v>
      </c>
      <c r="C291" s="105"/>
      <c r="D291" s="105" t="s">
        <v>545</v>
      </c>
      <c r="E291" s="105" t="s">
        <v>634</v>
      </c>
      <c r="F291" s="105"/>
      <c r="G291" s="105"/>
    </row>
    <row r="292" spans="1:7" ht="15" customHeight="1">
      <c r="A292" s="1" t="s">
        <v>434</v>
      </c>
      <c r="B292" s="1" t="s">
        <v>461</v>
      </c>
      <c r="C292" s="1"/>
      <c r="D292" s="1" t="s">
        <v>546</v>
      </c>
      <c r="E292" s="1" t="s">
        <v>635</v>
      </c>
      <c r="F292" s="106" t="s">
        <v>920</v>
      </c>
      <c r="G292" s="106" t="s">
        <v>921</v>
      </c>
    </row>
    <row r="293" spans="1:7" ht="12.75" customHeight="1">
      <c r="A293" s="1" t="s">
        <v>434</v>
      </c>
      <c r="B293" s="1" t="s">
        <v>461</v>
      </c>
      <c r="C293" s="1"/>
      <c r="D293" s="1" t="s">
        <v>547</v>
      </c>
      <c r="E293" s="1" t="s">
        <v>636</v>
      </c>
      <c r="F293" s="106" t="s">
        <v>922</v>
      </c>
      <c r="G293" s="106" t="s">
        <v>923</v>
      </c>
    </row>
    <row r="294" spans="1:7" ht="18" customHeight="1">
      <c r="A294" s="1" t="s">
        <v>434</v>
      </c>
      <c r="B294" s="1" t="s">
        <v>461</v>
      </c>
      <c r="C294" s="1"/>
      <c r="D294" s="1" t="s">
        <v>548</v>
      </c>
      <c r="E294" s="1" t="s">
        <v>637</v>
      </c>
      <c r="F294" s="106" t="s">
        <v>924</v>
      </c>
      <c r="G294" s="106" t="s">
        <v>925</v>
      </c>
    </row>
    <row r="295" spans="1:7" ht="13.5" customHeight="1">
      <c r="A295" s="1" t="s">
        <v>434</v>
      </c>
      <c r="B295" s="1" t="s">
        <v>461</v>
      </c>
      <c r="C295" s="1"/>
      <c r="D295" s="1" t="s">
        <v>549</v>
      </c>
      <c r="E295" s="1" t="s">
        <v>638</v>
      </c>
      <c r="F295" s="106" t="s">
        <v>926</v>
      </c>
      <c r="G295" s="106" t="s">
        <v>927</v>
      </c>
    </row>
    <row r="296" spans="1:7" ht="16.5" customHeight="1">
      <c r="A296" s="1" t="s">
        <v>434</v>
      </c>
      <c r="B296" s="1" t="s">
        <v>461</v>
      </c>
      <c r="C296" s="1"/>
      <c r="D296" s="1" t="s">
        <v>550</v>
      </c>
      <c r="E296" s="1" t="s">
        <v>639</v>
      </c>
      <c r="F296" s="106" t="s">
        <v>928</v>
      </c>
      <c r="G296" s="106" t="s">
        <v>929</v>
      </c>
    </row>
    <row r="297" spans="1:7" ht="26.25" customHeight="1">
      <c r="A297" s="1" t="s">
        <v>434</v>
      </c>
      <c r="B297" s="1" t="s">
        <v>461</v>
      </c>
      <c r="C297" s="1"/>
      <c r="D297" s="1" t="s">
        <v>551</v>
      </c>
      <c r="E297" s="1" t="s">
        <v>640</v>
      </c>
      <c r="F297" s="106" t="s">
        <v>930</v>
      </c>
      <c r="G297" s="106" t="s">
        <v>931</v>
      </c>
    </row>
    <row r="298" spans="1:7" ht="18.75" customHeight="1">
      <c r="A298" s="1" t="s">
        <v>434</v>
      </c>
      <c r="B298" s="1" t="s">
        <v>461</v>
      </c>
      <c r="C298" s="1"/>
      <c r="D298" s="1" t="s">
        <v>552</v>
      </c>
      <c r="E298" s="1" t="s">
        <v>641</v>
      </c>
      <c r="F298" s="106" t="s">
        <v>932</v>
      </c>
      <c r="G298" s="106" t="s">
        <v>933</v>
      </c>
    </row>
    <row r="299" spans="1:7" ht="21.75" customHeight="1">
      <c r="A299" s="1" t="s">
        <v>434</v>
      </c>
      <c r="B299" s="1" t="s">
        <v>461</v>
      </c>
      <c r="C299" s="1"/>
      <c r="D299" s="1" t="s">
        <v>553</v>
      </c>
      <c r="E299" s="1" t="s">
        <v>642</v>
      </c>
      <c r="F299" s="106" t="s">
        <v>934</v>
      </c>
      <c r="G299" s="106" t="s">
        <v>935</v>
      </c>
    </row>
    <row r="300" spans="1:7" ht="19.5" customHeight="1">
      <c r="A300" s="1" t="s">
        <v>434</v>
      </c>
      <c r="B300" s="1" t="s">
        <v>461</v>
      </c>
      <c r="C300" s="1"/>
      <c r="D300" s="1" t="s">
        <v>554</v>
      </c>
      <c r="E300" s="1" t="s">
        <v>643</v>
      </c>
      <c r="F300" s="106" t="s">
        <v>936</v>
      </c>
      <c r="G300" s="106" t="s">
        <v>937</v>
      </c>
    </row>
    <row r="301" spans="1:7" ht="21.75" customHeight="1">
      <c r="A301" s="1" t="s">
        <v>434</v>
      </c>
      <c r="B301" s="1" t="s">
        <v>461</v>
      </c>
      <c r="C301" s="1"/>
      <c r="D301" s="1" t="s">
        <v>555</v>
      </c>
      <c r="E301" s="1" t="s">
        <v>644</v>
      </c>
      <c r="F301" s="106" t="s">
        <v>938</v>
      </c>
      <c r="G301" s="106" t="s">
        <v>939</v>
      </c>
    </row>
    <row r="302" spans="1:7" ht="30.75" customHeight="1">
      <c r="A302" s="1" t="s">
        <v>434</v>
      </c>
      <c r="B302" s="1" t="s">
        <v>461</v>
      </c>
      <c r="C302" s="1"/>
      <c r="D302" s="1" t="s">
        <v>556</v>
      </c>
      <c r="E302" s="1" t="s">
        <v>645</v>
      </c>
      <c r="F302" s="106" t="s">
        <v>940</v>
      </c>
      <c r="G302" s="106" t="s">
        <v>941</v>
      </c>
    </row>
    <row r="303" spans="1:45" s="109" customFormat="1" ht="15.75" customHeight="1">
      <c r="A303" s="107" t="s">
        <v>434</v>
      </c>
      <c r="B303" s="107" t="s">
        <v>455</v>
      </c>
      <c r="C303" s="107"/>
      <c r="D303" s="107" t="s">
        <v>942</v>
      </c>
      <c r="E303" s="107" t="s">
        <v>943</v>
      </c>
      <c r="F303" s="107" t="s">
        <v>915</v>
      </c>
      <c r="G303" s="107" t="s">
        <v>915</v>
      </c>
      <c r="H303" s="108"/>
      <c r="I303" s="108"/>
      <c r="AR303" s="108"/>
      <c r="AS303" s="108"/>
    </row>
    <row r="304" spans="1:45" s="9" customFormat="1" ht="15">
      <c r="A304" s="107" t="s">
        <v>434</v>
      </c>
      <c r="B304" s="107" t="s">
        <v>460</v>
      </c>
      <c r="C304" s="107"/>
      <c r="D304" s="107" t="s">
        <v>876</v>
      </c>
      <c r="E304" s="107" t="s">
        <v>944</v>
      </c>
      <c r="F304" s="107" t="s">
        <v>945</v>
      </c>
      <c r="G304" s="107" t="s">
        <v>946</v>
      </c>
      <c r="H304" s="10"/>
      <c r="I304" s="10"/>
      <c r="AR304" s="10"/>
      <c r="AS304" s="10"/>
    </row>
    <row r="305" spans="1:45" s="9" customFormat="1" ht="15">
      <c r="A305" s="107" t="s">
        <v>434</v>
      </c>
      <c r="B305" s="107" t="s">
        <v>460</v>
      </c>
      <c r="C305" s="107"/>
      <c r="D305" s="107" t="s">
        <v>877</v>
      </c>
      <c r="E305" s="107" t="s">
        <v>947</v>
      </c>
      <c r="F305" s="107" t="s">
        <v>915</v>
      </c>
      <c r="G305" s="107" t="s">
        <v>915</v>
      </c>
      <c r="H305" s="10"/>
      <c r="I305" s="10"/>
      <c r="AR305" s="10"/>
      <c r="AS305" s="10"/>
    </row>
    <row r="306" spans="1:45" s="9" customFormat="1" ht="15">
      <c r="A306" s="107" t="s">
        <v>434</v>
      </c>
      <c r="B306" s="107" t="s">
        <v>460</v>
      </c>
      <c r="C306" s="107"/>
      <c r="D306" s="107" t="s">
        <v>878</v>
      </c>
      <c r="E306" s="107" t="s">
        <v>948</v>
      </c>
      <c r="F306" s="107" t="s">
        <v>915</v>
      </c>
      <c r="G306" s="107" t="s">
        <v>915</v>
      </c>
      <c r="H306" s="10"/>
      <c r="I306" s="10"/>
      <c r="AR306" s="10"/>
      <c r="AS306" s="10"/>
    </row>
    <row r="307" spans="1:45" s="9" customFormat="1" ht="16.5" customHeight="1">
      <c r="A307" s="107" t="s">
        <v>434</v>
      </c>
      <c r="B307" s="111" t="s">
        <v>460</v>
      </c>
      <c r="C307" s="111"/>
      <c r="D307" s="111" t="s">
        <v>879</v>
      </c>
      <c r="E307" s="112" t="s">
        <v>949</v>
      </c>
      <c r="F307" s="113" t="s">
        <v>950</v>
      </c>
      <c r="G307" s="113" t="s">
        <v>951</v>
      </c>
      <c r="H307" s="10"/>
      <c r="I307" s="10"/>
      <c r="AR307" s="10"/>
      <c r="AS307" s="10"/>
    </row>
    <row r="308" spans="1:45" s="109" customFormat="1" ht="15">
      <c r="A308" s="107" t="s">
        <v>434</v>
      </c>
      <c r="B308" s="107" t="s">
        <v>461</v>
      </c>
      <c r="C308" s="107"/>
      <c r="D308" s="114" t="s">
        <v>952</v>
      </c>
      <c r="E308" s="110" t="s">
        <v>953</v>
      </c>
      <c r="F308" s="114" t="s">
        <v>954</v>
      </c>
      <c r="G308" s="114" t="s">
        <v>955</v>
      </c>
      <c r="H308" s="108"/>
      <c r="I308" s="108"/>
      <c r="AR308" s="108"/>
      <c r="AS308" s="108"/>
    </row>
    <row r="309" spans="1:45" s="109" customFormat="1" ht="15">
      <c r="A309" s="107" t="s">
        <v>434</v>
      </c>
      <c r="B309" s="107" t="s">
        <v>461</v>
      </c>
      <c r="C309" s="107"/>
      <c r="D309" s="114" t="s">
        <v>956</v>
      </c>
      <c r="E309" s="110" t="s">
        <v>957</v>
      </c>
      <c r="F309" s="114" t="s">
        <v>958</v>
      </c>
      <c r="G309" s="114" t="s">
        <v>959</v>
      </c>
      <c r="H309" s="108"/>
      <c r="I309" s="108"/>
      <c r="AR309" s="108"/>
      <c r="AS309" s="108"/>
    </row>
    <row r="310" spans="1:7" ht="15">
      <c r="A310" s="3"/>
      <c r="B310" s="3"/>
      <c r="C310" s="3"/>
      <c r="D310" s="2"/>
      <c r="E310" s="2"/>
      <c r="F310" s="2"/>
      <c r="G310" s="2"/>
    </row>
    <row r="311" spans="1:7" ht="15">
      <c r="A311" s="3"/>
      <c r="B311" s="3"/>
      <c r="C311" s="3"/>
      <c r="D311" s="2"/>
      <c r="E311" s="2"/>
      <c r="F311" s="2"/>
      <c r="G311" s="2"/>
    </row>
    <row r="312" spans="1:7" ht="15">
      <c r="A312" s="3"/>
      <c r="B312" s="3"/>
      <c r="C312" s="3"/>
      <c r="D312" s="2"/>
      <c r="E312" s="2"/>
      <c r="F312" s="2"/>
      <c r="G312" s="2"/>
    </row>
    <row r="313" spans="1:7" ht="15">
      <c r="A313" s="3"/>
      <c r="B313" s="3"/>
      <c r="C313" s="3"/>
      <c r="D313" s="2"/>
      <c r="E313" s="2"/>
      <c r="F313" s="2"/>
      <c r="G313" s="2"/>
    </row>
    <row r="314" spans="1:7" ht="15">
      <c r="A314" s="3"/>
      <c r="B314" s="3"/>
      <c r="C314" s="3"/>
      <c r="D314" s="2"/>
      <c r="E314" s="2"/>
      <c r="F314" s="2"/>
      <c r="G314" s="2"/>
    </row>
    <row r="315" spans="1:7" ht="15">
      <c r="A315" s="3"/>
      <c r="B315" s="3"/>
      <c r="C315" s="3"/>
      <c r="D315" s="2"/>
      <c r="E315" s="2"/>
      <c r="F315" s="2"/>
      <c r="G315" s="2"/>
    </row>
    <row r="316" spans="1:7" ht="15">
      <c r="A316" s="3"/>
      <c r="B316" s="3"/>
      <c r="C316" s="3"/>
      <c r="D316" s="2"/>
      <c r="E316" s="2"/>
      <c r="F316" s="2"/>
      <c r="G316" s="2"/>
    </row>
    <row r="317" spans="1:7" ht="15">
      <c r="A317" s="3"/>
      <c r="B317" s="3"/>
      <c r="C317" s="3"/>
      <c r="D317" s="2"/>
      <c r="E317" s="2"/>
      <c r="F317" s="2"/>
      <c r="G317" s="2"/>
    </row>
    <row r="318" spans="1:45" ht="15">
      <c r="A318" s="3"/>
      <c r="B318" s="3"/>
      <c r="C318" s="3"/>
      <c r="D318" s="2"/>
      <c r="E318" s="2"/>
      <c r="F318" s="2"/>
      <c r="G318" s="2"/>
      <c r="H318" s="166"/>
      <c r="I318" s="166"/>
      <c r="AR318" s="166"/>
      <c r="AS318" s="166"/>
    </row>
    <row r="319" spans="1:45" ht="15">
      <c r="A319" s="3"/>
      <c r="B319" s="3"/>
      <c r="C319" s="3"/>
      <c r="D319" s="2"/>
      <c r="E319" s="2"/>
      <c r="F319" s="2"/>
      <c r="G319" s="2"/>
      <c r="H319" s="166"/>
      <c r="I319" s="166"/>
      <c r="AR319" s="166"/>
      <c r="AS319" s="166"/>
    </row>
    <row r="320" spans="1:45" ht="15">
      <c r="A320" s="3"/>
      <c r="B320" s="3"/>
      <c r="C320" s="3"/>
      <c r="D320" s="2"/>
      <c r="E320" s="2"/>
      <c r="F320" s="2"/>
      <c r="G320" s="2"/>
      <c r="H320" s="166"/>
      <c r="I320" s="166"/>
      <c r="AR320" s="166"/>
      <c r="AS320" s="166"/>
    </row>
    <row r="321" spans="1:45" ht="15">
      <c r="A321" s="3"/>
      <c r="B321" s="3"/>
      <c r="C321" s="3"/>
      <c r="D321" s="2"/>
      <c r="E321" s="2"/>
      <c r="F321" s="2"/>
      <c r="G321" s="2"/>
      <c r="H321" s="166"/>
      <c r="I321" s="166"/>
      <c r="AR321" s="166"/>
      <c r="AS321" s="166"/>
    </row>
    <row r="322" spans="1:45" ht="15">
      <c r="A322" s="3"/>
      <c r="B322" s="3"/>
      <c r="C322" s="3"/>
      <c r="D322" s="2"/>
      <c r="E322" s="2"/>
      <c r="F322" s="2"/>
      <c r="G322" s="2"/>
      <c r="H322" s="166"/>
      <c r="I322" s="166"/>
      <c r="AR322" s="166"/>
      <c r="AS322" s="166"/>
    </row>
    <row r="323" spans="1:45" ht="15">
      <c r="A323" s="3"/>
      <c r="B323" s="3"/>
      <c r="C323" s="3"/>
      <c r="D323" s="2"/>
      <c r="E323" s="2"/>
      <c r="F323" s="2"/>
      <c r="G323" s="2"/>
      <c r="H323" s="166"/>
      <c r="I323" s="166"/>
      <c r="AR323" s="166"/>
      <c r="AS323" s="166"/>
    </row>
    <row r="324" spans="1:45" ht="15">
      <c r="A324" s="3"/>
      <c r="B324" s="3"/>
      <c r="C324" s="3"/>
      <c r="D324" s="2"/>
      <c r="E324" s="2"/>
      <c r="F324" s="2"/>
      <c r="G324" s="2"/>
      <c r="H324" s="166"/>
      <c r="I324" s="166"/>
      <c r="AR324" s="166"/>
      <c r="AS324" s="166"/>
    </row>
    <row r="325" spans="1:45" ht="15">
      <c r="A325" s="3"/>
      <c r="B325" s="3"/>
      <c r="C325" s="3"/>
      <c r="D325" s="2"/>
      <c r="E325" s="2"/>
      <c r="F325" s="2"/>
      <c r="G325" s="2"/>
      <c r="H325" s="166"/>
      <c r="I325" s="166"/>
      <c r="AR325" s="166"/>
      <c r="AS325" s="166"/>
    </row>
    <row r="326" spans="1:45" ht="15">
      <c r="A326" s="3"/>
      <c r="B326" s="3"/>
      <c r="C326" s="3"/>
      <c r="D326" s="2"/>
      <c r="E326" s="2"/>
      <c r="F326" s="2"/>
      <c r="G326" s="2"/>
      <c r="H326" s="166"/>
      <c r="I326" s="166"/>
      <c r="AR326" s="166"/>
      <c r="AS326" s="166"/>
    </row>
    <row r="327" spans="1:45" ht="15">
      <c r="A327" s="3"/>
      <c r="B327" s="3"/>
      <c r="C327" s="3"/>
      <c r="D327" s="2"/>
      <c r="E327" s="2"/>
      <c r="F327" s="2"/>
      <c r="G327" s="2"/>
      <c r="H327" s="166"/>
      <c r="I327" s="166"/>
      <c r="AR327" s="166"/>
      <c r="AS327" s="166"/>
    </row>
    <row r="328" spans="1:45" ht="15">
      <c r="A328" s="3"/>
      <c r="B328" s="3"/>
      <c r="C328" s="3"/>
      <c r="D328" s="2"/>
      <c r="E328" s="2"/>
      <c r="F328" s="2"/>
      <c r="G328" s="2"/>
      <c r="H328" s="166"/>
      <c r="I328" s="166"/>
      <c r="AR328" s="166"/>
      <c r="AS328" s="166"/>
    </row>
    <row r="329" spans="1:45" ht="15">
      <c r="A329" s="3"/>
      <c r="B329" s="3"/>
      <c r="C329" s="3"/>
      <c r="D329" s="2"/>
      <c r="E329" s="2"/>
      <c r="F329" s="2"/>
      <c r="G329" s="2"/>
      <c r="H329" s="166"/>
      <c r="I329" s="166"/>
      <c r="AR329" s="166"/>
      <c r="AS329" s="166"/>
    </row>
    <row r="330" spans="1:45" ht="15">
      <c r="A330" s="3"/>
      <c r="B330" s="3"/>
      <c r="C330" s="3"/>
      <c r="D330" s="2"/>
      <c r="E330" s="2"/>
      <c r="F330" s="2"/>
      <c r="G330" s="2"/>
      <c r="H330" s="166"/>
      <c r="I330" s="166"/>
      <c r="AR330" s="166"/>
      <c r="AS330" s="166"/>
    </row>
    <row r="331" spans="1:45" ht="15">
      <c r="A331" s="3"/>
      <c r="B331" s="3"/>
      <c r="C331" s="3"/>
      <c r="D331" s="2"/>
      <c r="E331" s="2"/>
      <c r="F331" s="2"/>
      <c r="G331" s="2"/>
      <c r="H331" s="166"/>
      <c r="I331" s="166"/>
      <c r="AR331" s="166"/>
      <c r="AS331" s="166"/>
    </row>
    <row r="332" spans="1:45" ht="15">
      <c r="A332" s="3"/>
      <c r="B332" s="3"/>
      <c r="C332" s="3"/>
      <c r="D332" s="2"/>
      <c r="E332" s="2"/>
      <c r="F332" s="2"/>
      <c r="G332" s="2"/>
      <c r="H332" s="166"/>
      <c r="I332" s="166"/>
      <c r="AR332" s="166"/>
      <c r="AS332" s="166"/>
    </row>
    <row r="333" spans="1:45" ht="15">
      <c r="A333" s="3"/>
      <c r="B333" s="3"/>
      <c r="C333" s="3"/>
      <c r="D333" s="2"/>
      <c r="E333" s="2"/>
      <c r="F333" s="2"/>
      <c r="G333" s="2"/>
      <c r="H333" s="166"/>
      <c r="I333" s="166"/>
      <c r="AR333" s="166"/>
      <c r="AS333" s="166"/>
    </row>
    <row r="334" spans="1:45" ht="15">
      <c r="A334" s="3"/>
      <c r="B334" s="3"/>
      <c r="C334" s="3"/>
      <c r="D334" s="2"/>
      <c r="E334" s="2"/>
      <c r="F334" s="2"/>
      <c r="G334" s="2"/>
      <c r="H334" s="166"/>
      <c r="I334" s="166"/>
      <c r="AR334" s="166"/>
      <c r="AS334" s="166"/>
    </row>
    <row r="335" spans="1:45" ht="15">
      <c r="A335" s="3"/>
      <c r="B335" s="3"/>
      <c r="C335" s="3"/>
      <c r="D335" s="2"/>
      <c r="E335" s="2"/>
      <c r="F335" s="2"/>
      <c r="G335" s="2"/>
      <c r="H335" s="166"/>
      <c r="I335" s="166"/>
      <c r="AR335" s="166"/>
      <c r="AS335" s="166"/>
    </row>
    <row r="336" spans="1:45" ht="15">
      <c r="A336" s="3"/>
      <c r="B336" s="3"/>
      <c r="C336" s="3"/>
      <c r="D336" s="2"/>
      <c r="E336" s="2"/>
      <c r="F336" s="2"/>
      <c r="G336" s="2"/>
      <c r="H336" s="166"/>
      <c r="I336" s="166"/>
      <c r="AR336" s="166"/>
      <c r="AS336" s="166"/>
    </row>
    <row r="337" spans="1:45" ht="15">
      <c r="A337" s="3"/>
      <c r="B337" s="3"/>
      <c r="C337" s="3"/>
      <c r="D337" s="2"/>
      <c r="E337" s="2"/>
      <c r="F337" s="2"/>
      <c r="G337" s="2"/>
      <c r="H337" s="166"/>
      <c r="I337" s="166"/>
      <c r="AR337" s="166"/>
      <c r="AS337" s="166"/>
    </row>
    <row r="338" spans="1:45" ht="15">
      <c r="A338" s="3"/>
      <c r="B338" s="3"/>
      <c r="C338" s="3"/>
      <c r="D338" s="2"/>
      <c r="E338" s="2"/>
      <c r="F338" s="2"/>
      <c r="G338" s="2"/>
      <c r="H338" s="166"/>
      <c r="I338" s="166"/>
      <c r="AR338" s="166"/>
      <c r="AS338" s="166"/>
    </row>
    <row r="339" spans="1:45" ht="15">
      <c r="A339" s="3"/>
      <c r="B339" s="3"/>
      <c r="C339" s="3"/>
      <c r="D339" s="2"/>
      <c r="E339" s="2"/>
      <c r="F339" s="2"/>
      <c r="G339" s="2"/>
      <c r="H339" s="166"/>
      <c r="I339" s="166"/>
      <c r="AR339" s="166"/>
      <c r="AS339" s="166"/>
    </row>
    <row r="340" spans="1:45" ht="15">
      <c r="A340" s="3"/>
      <c r="B340" s="3"/>
      <c r="C340" s="3"/>
      <c r="D340" s="2"/>
      <c r="E340" s="2"/>
      <c r="F340" s="2"/>
      <c r="G340" s="2"/>
      <c r="H340" s="166"/>
      <c r="I340" s="166"/>
      <c r="AR340" s="166"/>
      <c r="AS340" s="166"/>
    </row>
    <row r="341" spans="1:45" ht="15">
      <c r="A341" s="3"/>
      <c r="B341" s="3"/>
      <c r="C341" s="3"/>
      <c r="D341" s="2"/>
      <c r="E341" s="2"/>
      <c r="F341" s="2"/>
      <c r="G341" s="2"/>
      <c r="H341" s="166"/>
      <c r="I341" s="166"/>
      <c r="AR341" s="166"/>
      <c r="AS341" s="166"/>
    </row>
    <row r="342" spans="1:45" ht="15">
      <c r="A342" s="3"/>
      <c r="B342" s="3"/>
      <c r="C342" s="3"/>
      <c r="D342" s="2"/>
      <c r="E342" s="2"/>
      <c r="F342" s="2"/>
      <c r="G342" s="2"/>
      <c r="H342" s="166"/>
      <c r="I342" s="166"/>
      <c r="AR342" s="166"/>
      <c r="AS342" s="166"/>
    </row>
    <row r="343" spans="1:45" ht="15">
      <c r="A343" s="3"/>
      <c r="B343" s="3"/>
      <c r="C343" s="3"/>
      <c r="D343" s="2"/>
      <c r="E343" s="2"/>
      <c r="F343" s="2"/>
      <c r="G343" s="2"/>
      <c r="H343" s="166"/>
      <c r="I343" s="166"/>
      <c r="AR343" s="166"/>
      <c r="AS343" s="166"/>
    </row>
    <row r="344" spans="1:45" ht="15">
      <c r="A344" s="3"/>
      <c r="B344" s="3"/>
      <c r="C344" s="3"/>
      <c r="D344" s="2"/>
      <c r="E344" s="2"/>
      <c r="F344" s="2"/>
      <c r="G344" s="2"/>
      <c r="H344" s="166"/>
      <c r="I344" s="166"/>
      <c r="AR344" s="166"/>
      <c r="AS344" s="166"/>
    </row>
    <row r="345" spans="1:45" ht="15">
      <c r="A345" s="3"/>
      <c r="B345" s="3"/>
      <c r="C345" s="3"/>
      <c r="D345" s="2"/>
      <c r="E345" s="2"/>
      <c r="F345" s="2"/>
      <c r="G345" s="2"/>
      <c r="H345" s="166"/>
      <c r="I345" s="166"/>
      <c r="AR345" s="166"/>
      <c r="AS345" s="166"/>
    </row>
    <row r="346" spans="1:45" ht="15">
      <c r="A346" s="3"/>
      <c r="B346" s="3"/>
      <c r="C346" s="3"/>
      <c r="D346" s="2"/>
      <c r="E346" s="2"/>
      <c r="F346" s="2"/>
      <c r="G346" s="2"/>
      <c r="H346" s="166"/>
      <c r="I346" s="166"/>
      <c r="AR346" s="166"/>
      <c r="AS346" s="166"/>
    </row>
    <row r="347" spans="1:45" ht="15">
      <c r="A347" s="3"/>
      <c r="B347" s="3"/>
      <c r="C347" s="3"/>
      <c r="D347" s="2"/>
      <c r="E347" s="2"/>
      <c r="F347" s="2"/>
      <c r="G347" s="2"/>
      <c r="H347" s="166"/>
      <c r="I347" s="166"/>
      <c r="AR347" s="166"/>
      <c r="AS347" s="166"/>
    </row>
    <row r="348" spans="1:45" ht="15">
      <c r="A348" s="3"/>
      <c r="B348" s="3"/>
      <c r="C348" s="3"/>
      <c r="D348" s="2"/>
      <c r="E348" s="2"/>
      <c r="F348" s="2"/>
      <c r="G348" s="2"/>
      <c r="H348" s="166"/>
      <c r="I348" s="166"/>
      <c r="AR348" s="166"/>
      <c r="AS348" s="166"/>
    </row>
    <row r="349" spans="1:45" ht="15">
      <c r="A349" s="3"/>
      <c r="B349" s="3"/>
      <c r="C349" s="3"/>
      <c r="D349" s="2"/>
      <c r="E349" s="2"/>
      <c r="F349" s="2"/>
      <c r="G349" s="2"/>
      <c r="H349" s="166"/>
      <c r="I349" s="166"/>
      <c r="AR349" s="166"/>
      <c r="AS349" s="166"/>
    </row>
    <row r="350" spans="1:45" ht="15">
      <c r="A350" s="3"/>
      <c r="B350" s="3"/>
      <c r="C350" s="3"/>
      <c r="D350" s="2"/>
      <c r="E350" s="2"/>
      <c r="F350" s="2"/>
      <c r="G350" s="2"/>
      <c r="H350" s="166"/>
      <c r="I350" s="166"/>
      <c r="AR350" s="166"/>
      <c r="AS350" s="166"/>
    </row>
    <row r="351" spans="1:45" ht="15">
      <c r="A351" s="3"/>
      <c r="B351" s="3"/>
      <c r="C351" s="3"/>
      <c r="D351" s="2"/>
      <c r="E351" s="2"/>
      <c r="F351" s="2"/>
      <c r="G351" s="2"/>
      <c r="H351" s="166"/>
      <c r="I351" s="166"/>
      <c r="AR351" s="166"/>
      <c r="AS351" s="166"/>
    </row>
    <row r="352" spans="1:45" ht="15">
      <c r="A352" s="3"/>
      <c r="B352" s="3"/>
      <c r="C352" s="3"/>
      <c r="D352" s="2"/>
      <c r="E352" s="2"/>
      <c r="F352" s="2"/>
      <c r="G352" s="2"/>
      <c r="H352" s="166"/>
      <c r="I352" s="166"/>
      <c r="AR352" s="166"/>
      <c r="AS352" s="166"/>
    </row>
    <row r="353" spans="1:45" ht="15">
      <c r="A353" s="3"/>
      <c r="B353" s="3"/>
      <c r="C353" s="3"/>
      <c r="D353" s="2"/>
      <c r="E353" s="2"/>
      <c r="F353" s="2"/>
      <c r="G353" s="2"/>
      <c r="H353" s="166"/>
      <c r="I353" s="166"/>
      <c r="AR353" s="166"/>
      <c r="AS353" s="166"/>
    </row>
    <row r="354" spans="1:45" ht="15">
      <c r="A354" s="3"/>
      <c r="B354" s="3"/>
      <c r="C354" s="3"/>
      <c r="D354" s="2"/>
      <c r="E354" s="2"/>
      <c r="F354" s="2"/>
      <c r="G354" s="2"/>
      <c r="H354" s="166"/>
      <c r="I354" s="166"/>
      <c r="AR354" s="166"/>
      <c r="AS354" s="166"/>
    </row>
    <row r="355" spans="1:45" ht="15">
      <c r="A355" s="3"/>
      <c r="B355" s="3"/>
      <c r="C355" s="3"/>
      <c r="D355" s="2"/>
      <c r="E355" s="2"/>
      <c r="F355" s="2"/>
      <c r="G355" s="2"/>
      <c r="H355" s="166"/>
      <c r="I355" s="166"/>
      <c r="AR355" s="166"/>
      <c r="AS355" s="166"/>
    </row>
    <row r="356" spans="1:45" ht="15">
      <c r="A356" s="3"/>
      <c r="B356" s="3"/>
      <c r="C356" s="3"/>
      <c r="D356" s="2"/>
      <c r="E356" s="2"/>
      <c r="F356" s="2"/>
      <c r="G356" s="2"/>
      <c r="H356" s="166"/>
      <c r="I356" s="166"/>
      <c r="AR356" s="166"/>
      <c r="AS356" s="166"/>
    </row>
    <row r="357" spans="1:45" ht="15">
      <c r="A357" s="3"/>
      <c r="B357" s="3"/>
      <c r="C357" s="3"/>
      <c r="D357" s="2"/>
      <c r="E357" s="2"/>
      <c r="F357" s="2"/>
      <c r="G357" s="2"/>
      <c r="H357" s="166"/>
      <c r="I357" s="166"/>
      <c r="AR357" s="166"/>
      <c r="AS357" s="166"/>
    </row>
    <row r="358" spans="1:45" ht="15">
      <c r="A358" s="3"/>
      <c r="B358" s="3"/>
      <c r="C358" s="3"/>
      <c r="D358" s="2"/>
      <c r="E358" s="2"/>
      <c r="F358" s="2"/>
      <c r="G358" s="2"/>
      <c r="H358" s="166"/>
      <c r="I358" s="166"/>
      <c r="AR358" s="166"/>
      <c r="AS358" s="166"/>
    </row>
    <row r="359" spans="1:45" ht="15">
      <c r="A359" s="3"/>
      <c r="B359" s="3"/>
      <c r="C359" s="3"/>
      <c r="D359" s="2"/>
      <c r="E359" s="2"/>
      <c r="F359" s="2"/>
      <c r="G359" s="2"/>
      <c r="H359" s="166"/>
      <c r="I359" s="166"/>
      <c r="AR359" s="166"/>
      <c r="AS359" s="166"/>
    </row>
    <row r="360" spans="1:45" ht="15">
      <c r="A360" s="3"/>
      <c r="B360" s="3"/>
      <c r="C360" s="3"/>
      <c r="D360" s="2"/>
      <c r="E360" s="2"/>
      <c r="F360" s="2"/>
      <c r="G360" s="2"/>
      <c r="H360" s="166"/>
      <c r="I360" s="166"/>
      <c r="AR360" s="166"/>
      <c r="AS360" s="166"/>
    </row>
    <row r="361" spans="1:45" ht="15">
      <c r="A361" s="3"/>
      <c r="B361" s="3"/>
      <c r="C361" s="3"/>
      <c r="D361" s="2"/>
      <c r="E361" s="2"/>
      <c r="F361" s="2"/>
      <c r="G361" s="2"/>
      <c r="H361" s="166"/>
      <c r="I361" s="166"/>
      <c r="AR361" s="166"/>
      <c r="AS361" s="166"/>
    </row>
    <row r="362" spans="1:45" ht="15">
      <c r="A362" s="3"/>
      <c r="B362" s="3"/>
      <c r="C362" s="3"/>
      <c r="D362" s="2"/>
      <c r="E362" s="2"/>
      <c r="F362" s="2"/>
      <c r="G362" s="2"/>
      <c r="H362" s="166"/>
      <c r="I362" s="166"/>
      <c r="AR362" s="166"/>
      <c r="AS362" s="166"/>
    </row>
    <row r="363" spans="1:45" ht="15">
      <c r="A363" s="3"/>
      <c r="B363" s="3"/>
      <c r="C363" s="3"/>
      <c r="D363" s="2"/>
      <c r="E363" s="2"/>
      <c r="F363" s="2"/>
      <c r="G363" s="2"/>
      <c r="H363" s="166"/>
      <c r="I363" s="166"/>
      <c r="AR363" s="166"/>
      <c r="AS363" s="166"/>
    </row>
    <row r="364" spans="1:45" ht="15">
      <c r="A364" s="3"/>
      <c r="B364" s="3"/>
      <c r="C364" s="3"/>
      <c r="D364" s="2"/>
      <c r="E364" s="2"/>
      <c r="F364" s="2"/>
      <c r="G364" s="2"/>
      <c r="H364" s="166"/>
      <c r="I364" s="166"/>
      <c r="AR364" s="166"/>
      <c r="AS364" s="166"/>
    </row>
    <row r="365" spans="1:45" ht="15">
      <c r="A365" s="3"/>
      <c r="B365" s="3"/>
      <c r="C365" s="3"/>
      <c r="D365" s="2"/>
      <c r="E365" s="2"/>
      <c r="F365" s="2"/>
      <c r="G365" s="2"/>
      <c r="H365" s="166"/>
      <c r="I365" s="166"/>
      <c r="AR365" s="166"/>
      <c r="AS365" s="166"/>
    </row>
    <row r="366" spans="1:45" ht="15">
      <c r="A366" s="3"/>
      <c r="B366" s="3"/>
      <c r="C366" s="3"/>
      <c r="D366" s="2"/>
      <c r="E366" s="2"/>
      <c r="F366" s="2"/>
      <c r="G366" s="2"/>
      <c r="H366" s="166"/>
      <c r="I366" s="166"/>
      <c r="AR366" s="166"/>
      <c r="AS366" s="166"/>
    </row>
    <row r="367" spans="1:45" ht="15">
      <c r="A367" s="3"/>
      <c r="B367" s="3"/>
      <c r="C367" s="3"/>
      <c r="D367" s="2"/>
      <c r="E367" s="2"/>
      <c r="F367" s="2"/>
      <c r="G367" s="2"/>
      <c r="H367" s="166"/>
      <c r="I367" s="166"/>
      <c r="AR367" s="166"/>
      <c r="AS367" s="166"/>
    </row>
    <row r="368" spans="1:45" ht="15">
      <c r="A368" s="3"/>
      <c r="B368" s="3"/>
      <c r="C368" s="3"/>
      <c r="D368" s="2"/>
      <c r="E368" s="2"/>
      <c r="F368" s="2"/>
      <c r="G368" s="2"/>
      <c r="H368" s="166"/>
      <c r="I368" s="166"/>
      <c r="AR368" s="166"/>
      <c r="AS368" s="166"/>
    </row>
    <row r="369" spans="1:45" ht="15">
      <c r="A369" s="3"/>
      <c r="B369" s="3"/>
      <c r="C369" s="3"/>
      <c r="D369" s="2"/>
      <c r="E369" s="2"/>
      <c r="F369" s="2"/>
      <c r="G369" s="2"/>
      <c r="H369" s="166"/>
      <c r="I369" s="166"/>
      <c r="AR369" s="166"/>
      <c r="AS369" s="166"/>
    </row>
    <row r="370" spans="1:45" ht="15">
      <c r="A370" s="3"/>
      <c r="B370" s="3"/>
      <c r="C370" s="3"/>
      <c r="D370" s="2"/>
      <c r="E370" s="2"/>
      <c r="F370" s="2"/>
      <c r="G370" s="2"/>
      <c r="H370" s="166"/>
      <c r="I370" s="166"/>
      <c r="AR370" s="166"/>
      <c r="AS370" s="166"/>
    </row>
    <row r="371" spans="1:45" ht="15">
      <c r="A371" s="3"/>
      <c r="B371" s="3"/>
      <c r="C371" s="3"/>
      <c r="D371" s="2"/>
      <c r="E371" s="2"/>
      <c r="F371" s="2"/>
      <c r="G371" s="2"/>
      <c r="H371" s="166"/>
      <c r="I371" s="166"/>
      <c r="AR371" s="166"/>
      <c r="AS371" s="166"/>
    </row>
    <row r="372" spans="1:45" ht="15">
      <c r="A372" s="3"/>
      <c r="B372" s="3"/>
      <c r="C372" s="3"/>
      <c r="D372" s="2"/>
      <c r="E372" s="2"/>
      <c r="F372" s="2"/>
      <c r="G372" s="2"/>
      <c r="H372" s="166"/>
      <c r="I372" s="166"/>
      <c r="AR372" s="166"/>
      <c r="AS372" s="166"/>
    </row>
    <row r="373" spans="1:45" ht="15">
      <c r="A373" s="3"/>
      <c r="B373" s="3"/>
      <c r="C373" s="3"/>
      <c r="D373" s="2"/>
      <c r="E373" s="2"/>
      <c r="F373" s="2"/>
      <c r="G373" s="2"/>
      <c r="H373" s="166"/>
      <c r="I373" s="166"/>
      <c r="AR373" s="166"/>
      <c r="AS373" s="166"/>
    </row>
    <row r="374" spans="1:45" ht="15">
      <c r="A374" s="3"/>
      <c r="B374" s="3"/>
      <c r="C374" s="3"/>
      <c r="D374" s="2"/>
      <c r="E374" s="2"/>
      <c r="F374" s="2"/>
      <c r="G374" s="2"/>
      <c r="H374" s="166"/>
      <c r="I374" s="166"/>
      <c r="AR374" s="166"/>
      <c r="AS374" s="166"/>
    </row>
    <row r="375" spans="1:45" ht="15">
      <c r="A375" s="3"/>
      <c r="B375" s="3"/>
      <c r="C375" s="3"/>
      <c r="D375" s="2"/>
      <c r="E375" s="2"/>
      <c r="F375" s="2"/>
      <c r="G375" s="2"/>
      <c r="H375" s="166"/>
      <c r="I375" s="166"/>
      <c r="AR375" s="166"/>
      <c r="AS375" s="166"/>
    </row>
    <row r="376" spans="1:45" ht="15">
      <c r="A376" s="3"/>
      <c r="B376" s="3"/>
      <c r="C376" s="3"/>
      <c r="D376" s="2"/>
      <c r="E376" s="2"/>
      <c r="F376" s="2"/>
      <c r="G376" s="2"/>
      <c r="H376" s="166"/>
      <c r="I376" s="166"/>
      <c r="AR376" s="166"/>
      <c r="AS376" s="166"/>
    </row>
    <row r="377" spans="1:45" ht="15">
      <c r="A377" s="3"/>
      <c r="B377" s="3"/>
      <c r="C377" s="3"/>
      <c r="D377" s="2"/>
      <c r="E377" s="2"/>
      <c r="F377" s="2"/>
      <c r="G377" s="2"/>
      <c r="H377" s="166"/>
      <c r="I377" s="166"/>
      <c r="AR377" s="166"/>
      <c r="AS377" s="166"/>
    </row>
    <row r="378" spans="1:45" ht="15">
      <c r="A378" s="3"/>
      <c r="B378" s="3"/>
      <c r="C378" s="3"/>
      <c r="D378" s="2"/>
      <c r="E378" s="2"/>
      <c r="F378" s="2"/>
      <c r="G378" s="2"/>
      <c r="H378" s="166"/>
      <c r="I378" s="166"/>
      <c r="AR378" s="166"/>
      <c r="AS378" s="166"/>
    </row>
    <row r="379" spans="1:45" ht="15">
      <c r="A379" s="3"/>
      <c r="B379" s="3"/>
      <c r="C379" s="3"/>
      <c r="D379" s="2"/>
      <c r="E379" s="2"/>
      <c r="F379" s="2"/>
      <c r="G379" s="2"/>
      <c r="H379" s="166"/>
      <c r="I379" s="166"/>
      <c r="AR379" s="166"/>
      <c r="AS379" s="166"/>
    </row>
    <row r="380" spans="1:45" ht="15">
      <c r="A380" s="3"/>
      <c r="B380" s="3"/>
      <c r="C380" s="3"/>
      <c r="D380" s="2"/>
      <c r="E380" s="2"/>
      <c r="F380" s="2"/>
      <c r="G380" s="2"/>
      <c r="H380" s="166"/>
      <c r="I380" s="166"/>
      <c r="AR380" s="166"/>
      <c r="AS380" s="166"/>
    </row>
    <row r="381" spans="1:45" ht="15">
      <c r="A381" s="3"/>
      <c r="B381" s="3"/>
      <c r="C381" s="3"/>
      <c r="D381" s="2"/>
      <c r="E381" s="2"/>
      <c r="F381" s="2"/>
      <c r="G381" s="2"/>
      <c r="H381" s="166"/>
      <c r="I381" s="166"/>
      <c r="AR381" s="166"/>
      <c r="AS381" s="166"/>
    </row>
    <row r="382" spans="1:45" ht="15">
      <c r="A382" s="3"/>
      <c r="B382" s="3"/>
      <c r="C382" s="3"/>
      <c r="D382" s="2"/>
      <c r="E382" s="2"/>
      <c r="F382" s="2"/>
      <c r="G382" s="2"/>
      <c r="H382" s="166"/>
      <c r="I382" s="166"/>
      <c r="AR382" s="166"/>
      <c r="AS382" s="166"/>
    </row>
    <row r="383" spans="1:45" ht="15">
      <c r="A383" s="3"/>
      <c r="B383" s="3"/>
      <c r="C383" s="3"/>
      <c r="D383" s="2"/>
      <c r="E383" s="2"/>
      <c r="F383" s="2"/>
      <c r="G383" s="2"/>
      <c r="H383" s="166"/>
      <c r="I383" s="166"/>
      <c r="AR383" s="166"/>
      <c r="AS383" s="166"/>
    </row>
    <row r="384" spans="1:45" ht="15">
      <c r="A384" s="3"/>
      <c r="B384" s="3"/>
      <c r="C384" s="3"/>
      <c r="D384" s="2"/>
      <c r="E384" s="2"/>
      <c r="F384" s="2"/>
      <c r="G384" s="2"/>
      <c r="H384" s="166"/>
      <c r="I384" s="166"/>
      <c r="AR384" s="166"/>
      <c r="AS384" s="166"/>
    </row>
    <row r="385" spans="1:45" ht="15">
      <c r="A385" s="3"/>
      <c r="B385" s="3"/>
      <c r="C385" s="3"/>
      <c r="D385" s="2"/>
      <c r="E385" s="2"/>
      <c r="F385" s="2"/>
      <c r="G385" s="2"/>
      <c r="H385" s="166"/>
      <c r="I385" s="166"/>
      <c r="AR385" s="166"/>
      <c r="AS385" s="166"/>
    </row>
    <row r="386" spans="1:45" ht="15">
      <c r="A386" s="3"/>
      <c r="B386" s="3"/>
      <c r="C386" s="3"/>
      <c r="D386" s="2"/>
      <c r="E386" s="2"/>
      <c r="F386" s="2"/>
      <c r="G386" s="2"/>
      <c r="H386" s="166"/>
      <c r="I386" s="166"/>
      <c r="AR386" s="166"/>
      <c r="AS386" s="166"/>
    </row>
    <row r="387" spans="1:45" ht="15">
      <c r="A387" s="3"/>
      <c r="B387" s="3"/>
      <c r="C387" s="3"/>
      <c r="D387" s="2"/>
      <c r="E387" s="2"/>
      <c r="F387" s="2"/>
      <c r="G387" s="2"/>
      <c r="H387" s="166"/>
      <c r="I387" s="166"/>
      <c r="AR387" s="166"/>
      <c r="AS387" s="166"/>
    </row>
    <row r="388" spans="1:45" ht="15">
      <c r="A388" s="3"/>
      <c r="B388" s="3"/>
      <c r="C388" s="3"/>
      <c r="D388" s="2"/>
      <c r="E388" s="2"/>
      <c r="F388" s="2"/>
      <c r="G388" s="2"/>
      <c r="H388" s="166"/>
      <c r="I388" s="166"/>
      <c r="AR388" s="166"/>
      <c r="AS388" s="166"/>
    </row>
    <row r="389" spans="1:45" ht="15">
      <c r="A389" s="3"/>
      <c r="B389" s="3"/>
      <c r="C389" s="3"/>
      <c r="D389" s="2"/>
      <c r="E389" s="2"/>
      <c r="F389" s="2"/>
      <c r="G389" s="2"/>
      <c r="H389" s="166"/>
      <c r="I389" s="166"/>
      <c r="AR389" s="166"/>
      <c r="AS389" s="166"/>
    </row>
    <row r="390" spans="1:45" ht="15">
      <c r="A390" s="3"/>
      <c r="B390" s="3"/>
      <c r="C390" s="3"/>
      <c r="D390" s="2"/>
      <c r="E390" s="2"/>
      <c r="F390" s="2"/>
      <c r="G390" s="2"/>
      <c r="H390" s="166"/>
      <c r="I390" s="166"/>
      <c r="AR390" s="166"/>
      <c r="AS390" s="166"/>
    </row>
    <row r="391" spans="1:45" ht="15">
      <c r="A391" s="3"/>
      <c r="B391" s="3"/>
      <c r="C391" s="3"/>
      <c r="D391" s="2"/>
      <c r="E391" s="2"/>
      <c r="F391" s="2"/>
      <c r="G391" s="2"/>
      <c r="H391" s="166"/>
      <c r="I391" s="166"/>
      <c r="AR391" s="166"/>
      <c r="AS391" s="166"/>
    </row>
    <row r="392" spans="1:45" ht="15">
      <c r="A392" s="3"/>
      <c r="B392" s="3"/>
      <c r="C392" s="3"/>
      <c r="D392" s="2"/>
      <c r="E392" s="2"/>
      <c r="F392" s="2"/>
      <c r="G392" s="2"/>
      <c r="H392" s="166"/>
      <c r="I392" s="166"/>
      <c r="AR392" s="166"/>
      <c r="AS392" s="166"/>
    </row>
    <row r="393" spans="1:45" ht="15">
      <c r="A393" s="3"/>
      <c r="B393" s="3"/>
      <c r="C393" s="3"/>
      <c r="D393" s="2"/>
      <c r="E393" s="2"/>
      <c r="F393" s="2"/>
      <c r="G393" s="2"/>
      <c r="H393" s="166"/>
      <c r="I393" s="166"/>
      <c r="AR393" s="166"/>
      <c r="AS393" s="166"/>
    </row>
    <row r="394" spans="1:45" ht="15">
      <c r="A394" s="3"/>
      <c r="B394" s="3"/>
      <c r="C394" s="3"/>
      <c r="D394" s="2"/>
      <c r="E394" s="2"/>
      <c r="F394" s="2"/>
      <c r="G394" s="2"/>
      <c r="H394" s="166"/>
      <c r="I394" s="166"/>
      <c r="AR394" s="166"/>
      <c r="AS394" s="166"/>
    </row>
    <row r="395" spans="1:45" ht="15">
      <c r="A395" s="3"/>
      <c r="B395" s="3"/>
      <c r="C395" s="3"/>
      <c r="D395" s="2"/>
      <c r="E395" s="2"/>
      <c r="F395" s="2"/>
      <c r="G395" s="2"/>
      <c r="H395" s="166"/>
      <c r="I395" s="166"/>
      <c r="AR395" s="166"/>
      <c r="AS395" s="166"/>
    </row>
    <row r="396" spans="1:45" ht="15">
      <c r="A396" s="3"/>
      <c r="B396" s="3"/>
      <c r="C396" s="3"/>
      <c r="D396" s="2"/>
      <c r="E396" s="2"/>
      <c r="F396" s="2"/>
      <c r="G396" s="2"/>
      <c r="H396" s="166"/>
      <c r="I396" s="166"/>
      <c r="AR396" s="166"/>
      <c r="AS396" s="166"/>
    </row>
    <row r="397" spans="1:45" ht="15">
      <c r="A397" s="3"/>
      <c r="B397" s="3"/>
      <c r="C397" s="3"/>
      <c r="D397" s="2"/>
      <c r="E397" s="2"/>
      <c r="F397" s="2"/>
      <c r="G397" s="2"/>
      <c r="H397" s="166"/>
      <c r="I397" s="166"/>
      <c r="AR397" s="166"/>
      <c r="AS397" s="166"/>
    </row>
    <row r="398" spans="1:45" ht="15">
      <c r="A398" s="3"/>
      <c r="B398" s="3"/>
      <c r="C398" s="3"/>
      <c r="D398" s="2"/>
      <c r="E398" s="2"/>
      <c r="F398" s="2"/>
      <c r="G398" s="2"/>
      <c r="H398" s="166"/>
      <c r="I398" s="166"/>
      <c r="AR398" s="166"/>
      <c r="AS398" s="166"/>
    </row>
    <row r="399" spans="1:45" ht="15">
      <c r="A399" s="3"/>
      <c r="B399" s="3"/>
      <c r="C399" s="3"/>
      <c r="D399" s="2"/>
      <c r="E399" s="2"/>
      <c r="F399" s="2"/>
      <c r="G399" s="2"/>
      <c r="H399" s="166"/>
      <c r="I399" s="166"/>
      <c r="AR399" s="166"/>
      <c r="AS399" s="166"/>
    </row>
    <row r="400" spans="1:45" ht="15">
      <c r="A400" s="3"/>
      <c r="B400" s="3"/>
      <c r="C400" s="3"/>
      <c r="D400" s="2"/>
      <c r="E400" s="2"/>
      <c r="F400" s="2"/>
      <c r="G400" s="2"/>
      <c r="H400" s="166"/>
      <c r="I400" s="166"/>
      <c r="AR400" s="166"/>
      <c r="AS400" s="166"/>
    </row>
    <row r="401" spans="1:45" ht="15">
      <c r="A401" s="3"/>
      <c r="B401" s="3"/>
      <c r="C401" s="3"/>
      <c r="D401" s="2"/>
      <c r="E401" s="2"/>
      <c r="F401" s="2"/>
      <c r="G401" s="2"/>
      <c r="H401" s="166"/>
      <c r="I401" s="166"/>
      <c r="AR401" s="166"/>
      <c r="AS401" s="166"/>
    </row>
    <row r="402" spans="1:45" ht="15">
      <c r="A402" s="3"/>
      <c r="B402" s="3"/>
      <c r="C402" s="3"/>
      <c r="D402" s="2"/>
      <c r="E402" s="2"/>
      <c r="F402" s="2"/>
      <c r="G402" s="2"/>
      <c r="H402" s="166"/>
      <c r="I402" s="166"/>
      <c r="AR402" s="166"/>
      <c r="AS402" s="166"/>
    </row>
    <row r="403" spans="1:45" ht="15">
      <c r="A403" s="3"/>
      <c r="B403" s="3"/>
      <c r="C403" s="3"/>
      <c r="D403" s="2"/>
      <c r="E403" s="2"/>
      <c r="F403" s="2"/>
      <c r="G403" s="2"/>
      <c r="H403" s="166"/>
      <c r="I403" s="166"/>
      <c r="AR403" s="166"/>
      <c r="AS403" s="166"/>
    </row>
    <row r="404" spans="1:45" ht="15">
      <c r="A404" s="3"/>
      <c r="B404" s="3"/>
      <c r="C404" s="3"/>
      <c r="D404" s="2"/>
      <c r="E404" s="2"/>
      <c r="F404" s="2"/>
      <c r="G404" s="2"/>
      <c r="H404" s="166"/>
      <c r="I404" s="166"/>
      <c r="AR404" s="166"/>
      <c r="AS404" s="166"/>
    </row>
    <row r="405" spans="1:45" ht="15">
      <c r="A405" s="3"/>
      <c r="B405" s="3"/>
      <c r="C405" s="3"/>
      <c r="D405" s="2"/>
      <c r="E405" s="2"/>
      <c r="F405" s="2"/>
      <c r="G405" s="2"/>
      <c r="H405" s="166"/>
      <c r="I405" s="166"/>
      <c r="AR405" s="166"/>
      <c r="AS405" s="166"/>
    </row>
    <row r="406" spans="1:45" ht="15">
      <c r="A406" s="3"/>
      <c r="B406" s="3"/>
      <c r="C406" s="3"/>
      <c r="D406" s="2"/>
      <c r="E406" s="2"/>
      <c r="F406" s="2"/>
      <c r="G406" s="2"/>
      <c r="H406" s="166"/>
      <c r="I406" s="166"/>
      <c r="AR406" s="166"/>
      <c r="AS406" s="166"/>
    </row>
    <row r="407" spans="1:45" ht="15">
      <c r="A407" s="3"/>
      <c r="B407" s="3"/>
      <c r="C407" s="3"/>
      <c r="D407" s="2"/>
      <c r="E407" s="2"/>
      <c r="F407" s="2"/>
      <c r="G407" s="2"/>
      <c r="H407" s="166"/>
      <c r="I407" s="166"/>
      <c r="AR407" s="166"/>
      <c r="AS407" s="166"/>
    </row>
    <row r="408" spans="1:45" ht="15">
      <c r="A408" s="3"/>
      <c r="B408" s="3"/>
      <c r="C408" s="3"/>
      <c r="D408" s="2"/>
      <c r="E408" s="2"/>
      <c r="F408" s="2"/>
      <c r="G408" s="2"/>
      <c r="H408" s="166"/>
      <c r="I408" s="166"/>
      <c r="AR408" s="166"/>
      <c r="AS408" s="166"/>
    </row>
    <row r="409" spans="1:45" ht="15">
      <c r="A409" s="3"/>
      <c r="B409" s="3"/>
      <c r="C409" s="3"/>
      <c r="D409" s="2"/>
      <c r="E409" s="2"/>
      <c r="F409" s="2"/>
      <c r="G409" s="2"/>
      <c r="H409" s="166"/>
      <c r="I409" s="166"/>
      <c r="AR409" s="166"/>
      <c r="AS409" s="166"/>
    </row>
    <row r="410" spans="1:45" ht="15">
      <c r="A410" s="3"/>
      <c r="B410" s="3"/>
      <c r="C410" s="3"/>
      <c r="D410" s="2"/>
      <c r="E410" s="2"/>
      <c r="F410" s="2"/>
      <c r="G410" s="2"/>
      <c r="H410" s="166"/>
      <c r="I410" s="166"/>
      <c r="AR410" s="166"/>
      <c r="AS410" s="166"/>
    </row>
    <row r="411" spans="1:45" ht="15">
      <c r="A411" s="3"/>
      <c r="B411" s="3"/>
      <c r="C411" s="3"/>
      <c r="D411" s="2"/>
      <c r="E411" s="2"/>
      <c r="F411" s="2"/>
      <c r="G411" s="2"/>
      <c r="H411" s="166"/>
      <c r="I411" s="166"/>
      <c r="AR411" s="166"/>
      <c r="AS411" s="166"/>
    </row>
    <row r="412" spans="1:45" ht="15">
      <c r="A412" s="3"/>
      <c r="B412" s="3"/>
      <c r="C412" s="3"/>
      <c r="D412" s="2"/>
      <c r="E412" s="2"/>
      <c r="F412" s="2"/>
      <c r="G412" s="2"/>
      <c r="H412" s="166"/>
      <c r="I412" s="166"/>
      <c r="AR412" s="166"/>
      <c r="AS412" s="166"/>
    </row>
    <row r="413" spans="1:45" ht="15">
      <c r="A413" s="3"/>
      <c r="B413" s="3"/>
      <c r="C413" s="3"/>
      <c r="D413" s="2"/>
      <c r="E413" s="2"/>
      <c r="F413" s="2"/>
      <c r="G413" s="2"/>
      <c r="H413" s="166"/>
      <c r="I413" s="166"/>
      <c r="AR413" s="166"/>
      <c r="AS413" s="166"/>
    </row>
    <row r="414" spans="1:45" ht="15">
      <c r="A414" s="3"/>
      <c r="B414" s="3"/>
      <c r="C414" s="3"/>
      <c r="D414" s="2"/>
      <c r="E414" s="2"/>
      <c r="F414" s="2"/>
      <c r="G414" s="2"/>
      <c r="H414" s="166"/>
      <c r="I414" s="166"/>
      <c r="AR414" s="166"/>
      <c r="AS414" s="166"/>
    </row>
    <row r="415" spans="1:45" ht="15">
      <c r="A415" s="3"/>
      <c r="B415" s="3"/>
      <c r="C415" s="3"/>
      <c r="D415" s="2"/>
      <c r="E415" s="2"/>
      <c r="F415" s="2"/>
      <c r="G415" s="2"/>
      <c r="H415" s="166"/>
      <c r="I415" s="166"/>
      <c r="AR415" s="166"/>
      <c r="AS415" s="166"/>
    </row>
    <row r="416" spans="1:45" ht="15">
      <c r="A416" s="3"/>
      <c r="B416" s="3"/>
      <c r="C416" s="3"/>
      <c r="D416" s="2"/>
      <c r="E416" s="2"/>
      <c r="F416" s="2"/>
      <c r="G416" s="2"/>
      <c r="H416" s="166"/>
      <c r="I416" s="166"/>
      <c r="AR416" s="166"/>
      <c r="AS416" s="166"/>
    </row>
    <row r="417" spans="1:45" ht="15">
      <c r="A417" s="3"/>
      <c r="B417" s="3"/>
      <c r="C417" s="3"/>
      <c r="D417" s="2"/>
      <c r="E417" s="2"/>
      <c r="F417" s="2"/>
      <c r="G417" s="2"/>
      <c r="H417" s="166"/>
      <c r="I417" s="166"/>
      <c r="AR417" s="166"/>
      <c r="AS417" s="166"/>
    </row>
    <row r="418" spans="1:45" ht="15">
      <c r="A418" s="3"/>
      <c r="B418" s="3"/>
      <c r="C418" s="3"/>
      <c r="D418" s="2"/>
      <c r="E418" s="2"/>
      <c r="F418" s="2"/>
      <c r="G418" s="2"/>
      <c r="H418" s="166"/>
      <c r="I418" s="166"/>
      <c r="AR418" s="166"/>
      <c r="AS418" s="166"/>
    </row>
    <row r="419" spans="1:45" ht="15">
      <c r="A419" s="3"/>
      <c r="B419" s="3"/>
      <c r="C419" s="3"/>
      <c r="D419" s="2"/>
      <c r="E419" s="2"/>
      <c r="F419" s="2"/>
      <c r="G419" s="2"/>
      <c r="H419" s="166"/>
      <c r="I419" s="166"/>
      <c r="AR419" s="166"/>
      <c r="AS419" s="166"/>
    </row>
    <row r="420" spans="1:45" ht="15">
      <c r="A420" s="3"/>
      <c r="B420" s="3"/>
      <c r="C420" s="3"/>
      <c r="D420" s="2"/>
      <c r="E420" s="2"/>
      <c r="F420" s="2"/>
      <c r="G420" s="2"/>
      <c r="H420" s="166"/>
      <c r="I420" s="166"/>
      <c r="AR420" s="166"/>
      <c r="AS420" s="166"/>
    </row>
    <row r="421" spans="1:45" ht="15">
      <c r="A421" s="3"/>
      <c r="B421" s="3"/>
      <c r="C421" s="3"/>
      <c r="D421" s="2"/>
      <c r="E421" s="2"/>
      <c r="F421" s="2"/>
      <c r="G421" s="2"/>
      <c r="H421" s="166"/>
      <c r="I421" s="166"/>
      <c r="AR421" s="166"/>
      <c r="AS421" s="166"/>
    </row>
    <row r="422" spans="1:45" ht="15">
      <c r="A422" s="3"/>
      <c r="B422" s="3"/>
      <c r="C422" s="3"/>
      <c r="D422" s="2"/>
      <c r="E422" s="2"/>
      <c r="F422" s="2"/>
      <c r="G422" s="2"/>
      <c r="H422" s="166"/>
      <c r="I422" s="166"/>
      <c r="AR422" s="166"/>
      <c r="AS422" s="166"/>
    </row>
    <row r="423" spans="1:45" ht="15">
      <c r="A423" s="3"/>
      <c r="B423" s="3"/>
      <c r="C423" s="3"/>
      <c r="D423" s="2"/>
      <c r="E423" s="2"/>
      <c r="F423" s="2"/>
      <c r="G423" s="2"/>
      <c r="H423" s="166"/>
      <c r="I423" s="166"/>
      <c r="AR423" s="166"/>
      <c r="AS423" s="166"/>
    </row>
    <row r="424" spans="1:45" ht="15">
      <c r="A424" s="3"/>
      <c r="B424" s="3"/>
      <c r="C424" s="3"/>
      <c r="D424" s="2"/>
      <c r="E424" s="2"/>
      <c r="F424" s="2"/>
      <c r="G424" s="2"/>
      <c r="H424" s="166"/>
      <c r="I424" s="166"/>
      <c r="AR424" s="166"/>
      <c r="AS424" s="166"/>
    </row>
    <row r="425" spans="1:45" ht="15">
      <c r="A425" s="3"/>
      <c r="B425" s="3"/>
      <c r="C425" s="3"/>
      <c r="D425" s="2"/>
      <c r="E425" s="2"/>
      <c r="F425" s="2"/>
      <c r="G425" s="2"/>
      <c r="H425" s="166"/>
      <c r="I425" s="166"/>
      <c r="AR425" s="166"/>
      <c r="AS425" s="166"/>
    </row>
    <row r="426" spans="1:45" ht="15">
      <c r="A426" s="3"/>
      <c r="B426" s="3"/>
      <c r="C426" s="3"/>
      <c r="D426" s="2"/>
      <c r="E426" s="2"/>
      <c r="F426" s="2"/>
      <c r="G426" s="2"/>
      <c r="H426" s="166"/>
      <c r="I426" s="166"/>
      <c r="AR426" s="166"/>
      <c r="AS426" s="166"/>
    </row>
    <row r="427" spans="1:45" ht="15">
      <c r="A427" s="3"/>
      <c r="B427" s="3"/>
      <c r="C427" s="3"/>
      <c r="D427" s="2"/>
      <c r="E427" s="2"/>
      <c r="F427" s="2"/>
      <c r="G427" s="2"/>
      <c r="H427" s="166"/>
      <c r="I427" s="166"/>
      <c r="AR427" s="166"/>
      <c r="AS427" s="166"/>
    </row>
    <row r="428" spans="1:45" ht="15">
      <c r="A428" s="3"/>
      <c r="B428" s="3"/>
      <c r="C428" s="3"/>
      <c r="D428" s="2"/>
      <c r="E428" s="2"/>
      <c r="F428" s="2"/>
      <c r="G428" s="2"/>
      <c r="H428" s="166"/>
      <c r="I428" s="166"/>
      <c r="AR428" s="166"/>
      <c r="AS428" s="166"/>
    </row>
    <row r="429" spans="1:45" ht="15">
      <c r="A429" s="3"/>
      <c r="B429" s="3"/>
      <c r="C429" s="3"/>
      <c r="D429" s="2"/>
      <c r="E429" s="2"/>
      <c r="F429" s="2"/>
      <c r="G429" s="2"/>
      <c r="H429" s="166"/>
      <c r="I429" s="166"/>
      <c r="AR429" s="166"/>
      <c r="AS429" s="166"/>
    </row>
    <row r="430" spans="1:45" ht="15">
      <c r="A430" s="3"/>
      <c r="B430" s="3"/>
      <c r="C430" s="3"/>
      <c r="D430" s="2"/>
      <c r="E430" s="2"/>
      <c r="F430" s="2"/>
      <c r="G430" s="2"/>
      <c r="H430" s="166"/>
      <c r="I430" s="166"/>
      <c r="AR430" s="166"/>
      <c r="AS430" s="166"/>
    </row>
    <row r="431" spans="1:45" ht="15">
      <c r="A431" s="3"/>
      <c r="B431" s="3"/>
      <c r="C431" s="3"/>
      <c r="D431" s="2"/>
      <c r="E431" s="2"/>
      <c r="F431" s="2"/>
      <c r="G431" s="2"/>
      <c r="H431" s="166"/>
      <c r="I431" s="166"/>
      <c r="AR431" s="166"/>
      <c r="AS431" s="166"/>
    </row>
    <row r="432" spans="1:45" ht="15">
      <c r="A432" s="3"/>
      <c r="B432" s="3"/>
      <c r="C432" s="3"/>
      <c r="D432" s="2"/>
      <c r="E432" s="2"/>
      <c r="F432" s="2"/>
      <c r="G432" s="2"/>
      <c r="H432" s="166"/>
      <c r="I432" s="166"/>
      <c r="AR432" s="166"/>
      <c r="AS432" s="166"/>
    </row>
    <row r="433" spans="1:45" ht="15">
      <c r="A433" s="3"/>
      <c r="B433" s="3"/>
      <c r="C433" s="3"/>
      <c r="D433" s="2"/>
      <c r="E433" s="2"/>
      <c r="F433" s="2"/>
      <c r="G433" s="2"/>
      <c r="H433" s="166"/>
      <c r="I433" s="166"/>
      <c r="AR433" s="166"/>
      <c r="AS433" s="166"/>
    </row>
    <row r="434" spans="1:45" ht="15">
      <c r="A434" s="3"/>
      <c r="B434" s="3"/>
      <c r="C434" s="3"/>
      <c r="D434" s="2"/>
      <c r="E434" s="2"/>
      <c r="F434" s="2"/>
      <c r="G434" s="2"/>
      <c r="H434" s="166"/>
      <c r="I434" s="166"/>
      <c r="AR434" s="166"/>
      <c r="AS434" s="166"/>
    </row>
    <row r="435" spans="1:45" ht="15">
      <c r="A435" s="3"/>
      <c r="B435" s="3"/>
      <c r="C435" s="3"/>
      <c r="D435" s="2"/>
      <c r="E435" s="2"/>
      <c r="F435" s="2"/>
      <c r="G435" s="2"/>
      <c r="H435" s="166"/>
      <c r="I435" s="166"/>
      <c r="AR435" s="166"/>
      <c r="AS435" s="166"/>
    </row>
    <row r="436" spans="1:45" ht="15">
      <c r="A436" s="3"/>
      <c r="B436" s="3"/>
      <c r="C436" s="3"/>
      <c r="D436" s="2"/>
      <c r="E436" s="2"/>
      <c r="F436" s="2"/>
      <c r="G436" s="2"/>
      <c r="H436" s="166"/>
      <c r="I436" s="166"/>
      <c r="AR436" s="166"/>
      <c r="AS436" s="166"/>
    </row>
    <row r="437" spans="1:45" ht="15">
      <c r="A437" s="3"/>
      <c r="B437" s="3"/>
      <c r="C437" s="3"/>
      <c r="D437" s="2"/>
      <c r="E437" s="2"/>
      <c r="F437" s="2"/>
      <c r="G437" s="2"/>
      <c r="H437" s="166"/>
      <c r="I437" s="166"/>
      <c r="AR437" s="166"/>
      <c r="AS437" s="166"/>
    </row>
    <row r="438" spans="1:45" ht="15">
      <c r="A438" s="3"/>
      <c r="B438" s="3"/>
      <c r="C438" s="3"/>
      <c r="D438" s="2"/>
      <c r="E438" s="2"/>
      <c r="F438" s="2"/>
      <c r="G438" s="2"/>
      <c r="H438" s="166"/>
      <c r="I438" s="166"/>
      <c r="AR438" s="166"/>
      <c r="AS438" s="166"/>
    </row>
    <row r="439" spans="1:45" ht="15">
      <c r="A439" s="3"/>
      <c r="B439" s="3"/>
      <c r="C439" s="3"/>
      <c r="D439" s="2"/>
      <c r="E439" s="2"/>
      <c r="F439" s="2"/>
      <c r="G439" s="2"/>
      <c r="H439" s="166"/>
      <c r="I439" s="166"/>
      <c r="AR439" s="166"/>
      <c r="AS439" s="166"/>
    </row>
    <row r="440" spans="1:45" ht="15">
      <c r="A440" s="3"/>
      <c r="B440" s="3"/>
      <c r="C440" s="3"/>
      <c r="D440" s="2"/>
      <c r="E440" s="2"/>
      <c r="F440" s="2"/>
      <c r="G440" s="2"/>
      <c r="H440" s="166"/>
      <c r="I440" s="166"/>
      <c r="AR440" s="166"/>
      <c r="AS440" s="166"/>
    </row>
    <row r="441" spans="1:45" ht="15">
      <c r="A441" s="3"/>
      <c r="B441" s="3"/>
      <c r="C441" s="3"/>
      <c r="D441" s="2"/>
      <c r="E441" s="2"/>
      <c r="F441" s="2"/>
      <c r="G441" s="2"/>
      <c r="H441" s="166"/>
      <c r="I441" s="166"/>
      <c r="AR441" s="166"/>
      <c r="AS441" s="166"/>
    </row>
    <row r="442" spans="1:45" ht="15">
      <c r="A442" s="3"/>
      <c r="B442" s="3"/>
      <c r="C442" s="3"/>
      <c r="D442" s="2"/>
      <c r="E442" s="2"/>
      <c r="F442" s="2"/>
      <c r="G442" s="2"/>
      <c r="H442" s="166"/>
      <c r="I442" s="166"/>
      <c r="AR442" s="166"/>
      <c r="AS442" s="166"/>
    </row>
    <row r="443" spans="1:45" ht="15">
      <c r="A443" s="3"/>
      <c r="B443" s="3"/>
      <c r="C443" s="3"/>
      <c r="D443" s="2"/>
      <c r="E443" s="2"/>
      <c r="F443" s="2"/>
      <c r="G443" s="2"/>
      <c r="H443" s="166"/>
      <c r="I443" s="166"/>
      <c r="AR443" s="166"/>
      <c r="AS443" s="166"/>
    </row>
    <row r="444" spans="1:45" ht="15">
      <c r="A444" s="3"/>
      <c r="B444" s="3"/>
      <c r="C444" s="3"/>
      <c r="D444" s="2"/>
      <c r="E444" s="2"/>
      <c r="F444" s="2"/>
      <c r="G444" s="2"/>
      <c r="H444" s="166"/>
      <c r="I444" s="166"/>
      <c r="AR444" s="166"/>
      <c r="AS444" s="166"/>
    </row>
    <row r="445" spans="1:45" ht="15">
      <c r="A445" s="3"/>
      <c r="B445" s="3"/>
      <c r="C445" s="3"/>
      <c r="D445" s="2"/>
      <c r="E445" s="2"/>
      <c r="F445" s="2"/>
      <c r="G445" s="2"/>
      <c r="H445" s="166"/>
      <c r="I445" s="166"/>
      <c r="AR445" s="166"/>
      <c r="AS445" s="166"/>
    </row>
    <row r="446" spans="1:45" ht="15">
      <c r="A446" s="3"/>
      <c r="B446" s="3"/>
      <c r="C446" s="3"/>
      <c r="D446" s="2"/>
      <c r="E446" s="2"/>
      <c r="F446" s="2"/>
      <c r="G446" s="2"/>
      <c r="H446" s="166"/>
      <c r="I446" s="166"/>
      <c r="AR446" s="166"/>
      <c r="AS446" s="166"/>
    </row>
    <row r="447" spans="1:45" ht="15">
      <c r="A447" s="3"/>
      <c r="B447" s="3"/>
      <c r="C447" s="3"/>
      <c r="D447" s="2"/>
      <c r="E447" s="2"/>
      <c r="F447" s="2"/>
      <c r="G447" s="2"/>
      <c r="H447" s="166"/>
      <c r="I447" s="166"/>
      <c r="AR447" s="166"/>
      <c r="AS447" s="166"/>
    </row>
    <row r="448" spans="1:45" ht="15">
      <c r="A448" s="3"/>
      <c r="B448" s="3"/>
      <c r="C448" s="3"/>
      <c r="D448" s="2"/>
      <c r="E448" s="2"/>
      <c r="F448" s="2"/>
      <c r="G448" s="2"/>
      <c r="H448" s="166"/>
      <c r="I448" s="166"/>
      <c r="AR448" s="166"/>
      <c r="AS448" s="166"/>
    </row>
    <row r="449" spans="1:45" ht="15">
      <c r="A449" s="3"/>
      <c r="B449" s="3"/>
      <c r="C449" s="3"/>
      <c r="D449" s="2"/>
      <c r="E449" s="2"/>
      <c r="F449" s="2"/>
      <c r="G449" s="2"/>
      <c r="H449" s="166"/>
      <c r="I449" s="166"/>
      <c r="AR449" s="166"/>
      <c r="AS449" s="166"/>
    </row>
    <row r="450" spans="1:45" ht="15">
      <c r="A450" s="3"/>
      <c r="B450" s="3"/>
      <c r="C450" s="3"/>
      <c r="D450" s="2"/>
      <c r="E450" s="2"/>
      <c r="F450" s="2"/>
      <c r="G450" s="2"/>
      <c r="H450" s="166"/>
      <c r="I450" s="166"/>
      <c r="AR450" s="166"/>
      <c r="AS450" s="166"/>
    </row>
    <row r="451" spans="1:45" ht="15">
      <c r="A451" s="3"/>
      <c r="B451" s="3"/>
      <c r="C451" s="3"/>
      <c r="D451" s="2"/>
      <c r="E451" s="2"/>
      <c r="F451" s="2"/>
      <c r="G451" s="2"/>
      <c r="H451" s="166"/>
      <c r="I451" s="166"/>
      <c r="AR451" s="166"/>
      <c r="AS451" s="166"/>
    </row>
    <row r="452" spans="1:45" ht="15">
      <c r="A452" s="3"/>
      <c r="B452" s="3"/>
      <c r="C452" s="3"/>
      <c r="D452" s="2"/>
      <c r="E452" s="2"/>
      <c r="F452" s="2"/>
      <c r="G452" s="2"/>
      <c r="H452" s="166"/>
      <c r="I452" s="166"/>
      <c r="AR452" s="166"/>
      <c r="AS452" s="166"/>
    </row>
    <row r="453" spans="1:45" ht="15">
      <c r="A453" s="3"/>
      <c r="B453" s="3"/>
      <c r="C453" s="3"/>
      <c r="D453" s="2"/>
      <c r="E453" s="2"/>
      <c r="F453" s="2"/>
      <c r="G453" s="2"/>
      <c r="H453" s="166"/>
      <c r="I453" s="166"/>
      <c r="AR453" s="166"/>
      <c r="AS453" s="166"/>
    </row>
    <row r="454" spans="1:45" ht="15">
      <c r="A454" s="3"/>
      <c r="B454" s="3"/>
      <c r="C454" s="3"/>
      <c r="D454" s="2"/>
      <c r="E454" s="2"/>
      <c r="F454" s="2"/>
      <c r="G454" s="2"/>
      <c r="H454" s="166"/>
      <c r="I454" s="166"/>
      <c r="AR454" s="166"/>
      <c r="AS454" s="166"/>
    </row>
    <row r="455" spans="1:45" ht="15">
      <c r="A455" s="3"/>
      <c r="B455" s="3"/>
      <c r="C455" s="3"/>
      <c r="D455" s="2"/>
      <c r="E455" s="2"/>
      <c r="F455" s="2"/>
      <c r="G455" s="2"/>
      <c r="H455" s="166"/>
      <c r="I455" s="166"/>
      <c r="AR455" s="166"/>
      <c r="AS455" s="166"/>
    </row>
    <row r="456" spans="1:45" ht="15">
      <c r="A456" s="3"/>
      <c r="B456" s="3"/>
      <c r="C456" s="3"/>
      <c r="D456" s="2"/>
      <c r="E456" s="2"/>
      <c r="F456" s="2"/>
      <c r="G456" s="2"/>
      <c r="H456" s="166"/>
      <c r="I456" s="166"/>
      <c r="AR456" s="166"/>
      <c r="AS456" s="166"/>
    </row>
    <row r="457" spans="1:45" ht="15">
      <c r="A457" s="3"/>
      <c r="B457" s="3"/>
      <c r="C457" s="3"/>
      <c r="D457" s="2"/>
      <c r="E457" s="2"/>
      <c r="F457" s="2"/>
      <c r="G457" s="2"/>
      <c r="H457" s="166"/>
      <c r="I457" s="166"/>
      <c r="AR457" s="166"/>
      <c r="AS457" s="166"/>
    </row>
    <row r="458" spans="1:45" ht="15">
      <c r="A458" s="3"/>
      <c r="B458" s="3"/>
      <c r="C458" s="3"/>
      <c r="D458" s="2"/>
      <c r="E458" s="2"/>
      <c r="F458" s="2"/>
      <c r="G458" s="2"/>
      <c r="H458" s="166"/>
      <c r="I458" s="166"/>
      <c r="AR458" s="166"/>
      <c r="AS458" s="166"/>
    </row>
    <row r="459" spans="1:45" ht="15">
      <c r="A459" s="3"/>
      <c r="B459" s="3"/>
      <c r="C459" s="3"/>
      <c r="D459" s="2"/>
      <c r="E459" s="2"/>
      <c r="F459" s="2"/>
      <c r="G459" s="2"/>
      <c r="H459" s="166"/>
      <c r="I459" s="166"/>
      <c r="AR459" s="166"/>
      <c r="AS459" s="166"/>
    </row>
    <row r="460" spans="1:45" ht="15">
      <c r="A460" s="3"/>
      <c r="B460" s="3"/>
      <c r="C460" s="3"/>
      <c r="D460" s="2"/>
      <c r="E460" s="2"/>
      <c r="F460" s="2"/>
      <c r="G460" s="2"/>
      <c r="H460" s="166"/>
      <c r="I460" s="166"/>
      <c r="AR460" s="166"/>
      <c r="AS460" s="166"/>
    </row>
    <row r="461" spans="1:45" ht="15">
      <c r="A461" s="3"/>
      <c r="B461" s="3"/>
      <c r="C461" s="3"/>
      <c r="D461" s="2"/>
      <c r="E461" s="2"/>
      <c r="F461" s="2"/>
      <c r="G461" s="2"/>
      <c r="H461" s="166"/>
      <c r="I461" s="166"/>
      <c r="AR461" s="166"/>
      <c r="AS461" s="166"/>
    </row>
    <row r="462" spans="1:45" ht="15">
      <c r="A462" s="3"/>
      <c r="B462" s="3"/>
      <c r="C462" s="3"/>
      <c r="D462" s="2"/>
      <c r="E462" s="2"/>
      <c r="F462" s="2"/>
      <c r="G462" s="2"/>
      <c r="H462" s="166"/>
      <c r="I462" s="166"/>
      <c r="AR462" s="166"/>
      <c r="AS462" s="166"/>
    </row>
    <row r="463" spans="1:45" ht="15">
      <c r="A463" s="3"/>
      <c r="B463" s="3"/>
      <c r="C463" s="3"/>
      <c r="D463" s="2"/>
      <c r="E463" s="2"/>
      <c r="F463" s="2"/>
      <c r="G463" s="2"/>
      <c r="H463" s="166"/>
      <c r="I463" s="166"/>
      <c r="AR463" s="166"/>
      <c r="AS463" s="166"/>
    </row>
    <row r="464" spans="1:45" ht="15">
      <c r="A464" s="3"/>
      <c r="B464" s="3"/>
      <c r="C464" s="3"/>
      <c r="D464" s="2"/>
      <c r="E464" s="2"/>
      <c r="F464" s="2"/>
      <c r="G464" s="2"/>
      <c r="H464" s="166"/>
      <c r="I464" s="166"/>
      <c r="AR464" s="166"/>
      <c r="AS464" s="166"/>
    </row>
    <row r="465" spans="1:45" ht="15">
      <c r="A465" s="3"/>
      <c r="B465" s="3"/>
      <c r="C465" s="3"/>
      <c r="D465" s="2"/>
      <c r="E465" s="2"/>
      <c r="F465" s="2"/>
      <c r="G465" s="2"/>
      <c r="H465" s="166"/>
      <c r="I465" s="166"/>
      <c r="AR465" s="166"/>
      <c r="AS465" s="166"/>
    </row>
    <row r="466" spans="1:45" ht="15">
      <c r="A466" s="3"/>
      <c r="B466" s="3"/>
      <c r="C466" s="3"/>
      <c r="D466" s="2"/>
      <c r="E466" s="2"/>
      <c r="F466" s="2"/>
      <c r="G466" s="2"/>
      <c r="H466" s="166"/>
      <c r="I466" s="166"/>
      <c r="AR466" s="166"/>
      <c r="AS466" s="166"/>
    </row>
    <row r="467" spans="1:45" ht="15">
      <c r="A467" s="3"/>
      <c r="B467" s="3"/>
      <c r="C467" s="3"/>
      <c r="D467" s="2"/>
      <c r="E467" s="2"/>
      <c r="F467" s="2"/>
      <c r="G467" s="2"/>
      <c r="H467" s="166"/>
      <c r="I467" s="166"/>
      <c r="AR467" s="166"/>
      <c r="AS467" s="166"/>
    </row>
    <row r="468" spans="1:45" ht="15">
      <c r="A468" s="3"/>
      <c r="B468" s="3"/>
      <c r="C468" s="3"/>
      <c r="D468" s="2"/>
      <c r="E468" s="2"/>
      <c r="F468" s="2"/>
      <c r="G468" s="2"/>
      <c r="H468" s="166"/>
      <c r="I468" s="166"/>
      <c r="AR468" s="166"/>
      <c r="AS468" s="166"/>
    </row>
    <row r="469" spans="1:45" ht="15">
      <c r="A469" s="3"/>
      <c r="B469" s="3"/>
      <c r="C469" s="3"/>
      <c r="D469" s="2"/>
      <c r="E469" s="2"/>
      <c r="F469" s="2"/>
      <c r="G469" s="2"/>
      <c r="H469" s="166"/>
      <c r="I469" s="166"/>
      <c r="AR469" s="166"/>
      <c r="AS469" s="166"/>
    </row>
    <row r="470" spans="1:45" ht="15">
      <c r="A470" s="3"/>
      <c r="B470" s="3"/>
      <c r="C470" s="3"/>
      <c r="D470" s="2"/>
      <c r="E470" s="2"/>
      <c r="F470" s="2"/>
      <c r="G470" s="2"/>
      <c r="H470" s="166"/>
      <c r="I470" s="166"/>
      <c r="AR470" s="166"/>
      <c r="AS470" s="166"/>
    </row>
    <row r="471" spans="1:45" ht="15">
      <c r="A471" s="3"/>
      <c r="B471" s="3"/>
      <c r="C471" s="3"/>
      <c r="D471" s="2"/>
      <c r="E471" s="2"/>
      <c r="F471" s="2"/>
      <c r="G471" s="2"/>
      <c r="H471" s="166"/>
      <c r="I471" s="166"/>
      <c r="AR471" s="166"/>
      <c r="AS471" s="166"/>
    </row>
    <row r="472" spans="1:45" ht="15">
      <c r="A472" s="3"/>
      <c r="B472" s="3"/>
      <c r="C472" s="3"/>
      <c r="D472" s="2"/>
      <c r="E472" s="2"/>
      <c r="F472" s="2"/>
      <c r="G472" s="2"/>
      <c r="H472" s="166"/>
      <c r="I472" s="166"/>
      <c r="AR472" s="166"/>
      <c r="AS472" s="166"/>
    </row>
    <row r="473" spans="1:45" ht="15">
      <c r="A473" s="3"/>
      <c r="B473" s="3"/>
      <c r="C473" s="3"/>
      <c r="D473" s="2"/>
      <c r="E473" s="2"/>
      <c r="F473" s="2"/>
      <c r="G473" s="2"/>
      <c r="H473" s="166"/>
      <c r="I473" s="166"/>
      <c r="AR473" s="166"/>
      <c r="AS473" s="166"/>
    </row>
    <row r="474" spans="1:45" ht="15">
      <c r="A474" s="3"/>
      <c r="B474" s="3"/>
      <c r="C474" s="3"/>
      <c r="D474" s="2"/>
      <c r="E474" s="2"/>
      <c r="F474" s="2"/>
      <c r="G474" s="2"/>
      <c r="H474" s="166"/>
      <c r="I474" s="166"/>
      <c r="AR474" s="166"/>
      <c r="AS474" s="166"/>
    </row>
    <row r="475" spans="1:45" ht="15">
      <c r="A475" s="3"/>
      <c r="B475" s="3"/>
      <c r="C475" s="3"/>
      <c r="D475" s="2"/>
      <c r="E475" s="2"/>
      <c r="F475" s="2"/>
      <c r="G475" s="2"/>
      <c r="H475" s="166"/>
      <c r="I475" s="166"/>
      <c r="AR475" s="166"/>
      <c r="AS475" s="166"/>
    </row>
    <row r="476" spans="1:45" ht="15">
      <c r="A476" s="3"/>
      <c r="B476" s="3"/>
      <c r="C476" s="3"/>
      <c r="D476" s="2"/>
      <c r="E476" s="2"/>
      <c r="F476" s="2"/>
      <c r="G476" s="2"/>
      <c r="H476" s="166"/>
      <c r="I476" s="166"/>
      <c r="AR476" s="166"/>
      <c r="AS476" s="166"/>
    </row>
    <row r="477" spans="1:45" ht="15">
      <c r="A477" s="3"/>
      <c r="B477" s="3"/>
      <c r="C477" s="3"/>
      <c r="D477" s="2"/>
      <c r="E477" s="2"/>
      <c r="F477" s="2"/>
      <c r="G477" s="2"/>
      <c r="H477" s="166"/>
      <c r="I477" s="166"/>
      <c r="AR477" s="166"/>
      <c r="AS477" s="166"/>
    </row>
    <row r="478" spans="1:45" ht="15">
      <c r="A478" s="3"/>
      <c r="B478" s="3"/>
      <c r="C478" s="3"/>
      <c r="D478" s="2"/>
      <c r="E478" s="2"/>
      <c r="F478" s="2"/>
      <c r="G478" s="2"/>
      <c r="H478" s="166"/>
      <c r="I478" s="166"/>
      <c r="AR478" s="166"/>
      <c r="AS478" s="166"/>
    </row>
    <row r="479" spans="1:45" ht="15">
      <c r="A479" s="3"/>
      <c r="B479" s="3"/>
      <c r="C479" s="3"/>
      <c r="D479" s="2"/>
      <c r="E479" s="2"/>
      <c r="F479" s="2"/>
      <c r="G479" s="2"/>
      <c r="H479" s="166"/>
      <c r="I479" s="166"/>
      <c r="AR479" s="166"/>
      <c r="AS479" s="166"/>
    </row>
    <row r="480" spans="1:45" ht="15">
      <c r="A480" s="3"/>
      <c r="B480" s="3"/>
      <c r="C480" s="3"/>
      <c r="D480" s="2"/>
      <c r="E480" s="2"/>
      <c r="F480" s="2"/>
      <c r="G480" s="2"/>
      <c r="H480" s="166"/>
      <c r="I480" s="166"/>
      <c r="AR480" s="166"/>
      <c r="AS480" s="166"/>
    </row>
    <row r="481" spans="1:45" ht="15">
      <c r="A481" s="3"/>
      <c r="B481" s="3"/>
      <c r="C481" s="3"/>
      <c r="D481" s="2"/>
      <c r="E481" s="2"/>
      <c r="F481" s="2"/>
      <c r="G481" s="2"/>
      <c r="H481" s="166"/>
      <c r="I481" s="166"/>
      <c r="AR481" s="166"/>
      <c r="AS481" s="166"/>
    </row>
    <row r="482" spans="1:45" ht="15">
      <c r="A482" s="3"/>
      <c r="B482" s="3"/>
      <c r="C482" s="3"/>
      <c r="D482" s="2"/>
      <c r="E482" s="2"/>
      <c r="F482" s="2"/>
      <c r="G482" s="2"/>
      <c r="H482" s="166"/>
      <c r="I482" s="166"/>
      <c r="AR482" s="166"/>
      <c r="AS482" s="166"/>
    </row>
    <row r="483" spans="1:45" ht="15">
      <c r="A483" s="3"/>
      <c r="B483" s="3"/>
      <c r="C483" s="3"/>
      <c r="D483" s="2"/>
      <c r="E483" s="2"/>
      <c r="F483" s="2"/>
      <c r="G483" s="2"/>
      <c r="H483" s="166"/>
      <c r="I483" s="166"/>
      <c r="AR483" s="166"/>
      <c r="AS483" s="166"/>
    </row>
    <row r="484" spans="1:45" ht="15">
      <c r="A484" s="3"/>
      <c r="B484" s="3"/>
      <c r="C484" s="3"/>
      <c r="D484" s="2"/>
      <c r="E484" s="2"/>
      <c r="F484" s="2"/>
      <c r="G484" s="2"/>
      <c r="H484" s="166"/>
      <c r="I484" s="166"/>
      <c r="AR484" s="166"/>
      <c r="AS484" s="166"/>
    </row>
    <row r="485" spans="1:45" ht="15">
      <c r="A485" s="3"/>
      <c r="B485" s="3"/>
      <c r="C485" s="3"/>
      <c r="D485" s="2"/>
      <c r="E485" s="2"/>
      <c r="F485" s="2"/>
      <c r="G485" s="2"/>
      <c r="H485" s="166"/>
      <c r="I485" s="166"/>
      <c r="AR485" s="166"/>
      <c r="AS485" s="166"/>
    </row>
    <row r="486" spans="1:45" ht="15">
      <c r="A486" s="3"/>
      <c r="B486" s="3"/>
      <c r="C486" s="3"/>
      <c r="D486" s="2"/>
      <c r="E486" s="2"/>
      <c r="F486" s="2"/>
      <c r="G486" s="2"/>
      <c r="H486" s="166"/>
      <c r="I486" s="166"/>
      <c r="AR486" s="166"/>
      <c r="AS486" s="166"/>
    </row>
    <row r="487" spans="1:45" ht="15">
      <c r="A487" s="3"/>
      <c r="B487" s="3"/>
      <c r="C487" s="3"/>
      <c r="D487" s="2"/>
      <c r="E487" s="2"/>
      <c r="F487" s="2"/>
      <c r="G487" s="2"/>
      <c r="H487" s="166"/>
      <c r="I487" s="166"/>
      <c r="AR487" s="166"/>
      <c r="AS487" s="166"/>
    </row>
    <row r="488" spans="1:45" ht="15">
      <c r="A488" s="3"/>
      <c r="B488" s="3"/>
      <c r="C488" s="3"/>
      <c r="D488" s="2"/>
      <c r="E488" s="2"/>
      <c r="F488" s="2"/>
      <c r="G488" s="2"/>
      <c r="H488" s="166"/>
      <c r="I488" s="166"/>
      <c r="AR488" s="166"/>
      <c r="AS488" s="166"/>
    </row>
    <row r="489" spans="1:45" ht="15">
      <c r="A489" s="3"/>
      <c r="B489" s="3"/>
      <c r="C489" s="3"/>
      <c r="D489" s="2"/>
      <c r="E489" s="2"/>
      <c r="F489" s="2"/>
      <c r="G489" s="2"/>
      <c r="H489" s="166"/>
      <c r="I489" s="166"/>
      <c r="AR489" s="166"/>
      <c r="AS489" s="166"/>
    </row>
    <row r="490" spans="1:45" ht="15">
      <c r="A490" s="3"/>
      <c r="B490" s="3"/>
      <c r="C490" s="3"/>
      <c r="D490" s="2"/>
      <c r="E490" s="2"/>
      <c r="F490" s="2"/>
      <c r="G490" s="2"/>
      <c r="H490" s="166"/>
      <c r="I490" s="166"/>
      <c r="AR490" s="166"/>
      <c r="AS490" s="166"/>
    </row>
    <row r="491" spans="1:45" ht="15">
      <c r="A491" s="3"/>
      <c r="B491" s="3"/>
      <c r="C491" s="3"/>
      <c r="D491" s="2"/>
      <c r="E491" s="2"/>
      <c r="F491" s="2"/>
      <c r="G491" s="2"/>
      <c r="H491" s="166"/>
      <c r="I491" s="166"/>
      <c r="AR491" s="166"/>
      <c r="AS491" s="166"/>
    </row>
    <row r="492" spans="1:45" ht="15">
      <c r="A492" s="3"/>
      <c r="B492" s="3"/>
      <c r="C492" s="3"/>
      <c r="D492" s="2"/>
      <c r="E492" s="2"/>
      <c r="F492" s="2"/>
      <c r="G492" s="2"/>
      <c r="H492" s="166"/>
      <c r="I492" s="166"/>
      <c r="AR492" s="166"/>
      <c r="AS492" s="166"/>
    </row>
    <row r="493" spans="1:45" ht="15">
      <c r="A493" s="3"/>
      <c r="B493" s="3"/>
      <c r="C493" s="3"/>
      <c r="D493" s="2"/>
      <c r="E493" s="2"/>
      <c r="F493" s="2"/>
      <c r="G493" s="2"/>
      <c r="H493" s="166"/>
      <c r="I493" s="166"/>
      <c r="AR493" s="166"/>
      <c r="AS493" s="166"/>
    </row>
    <row r="494" spans="1:45" ht="15">
      <c r="A494" s="3"/>
      <c r="B494" s="3"/>
      <c r="C494" s="3"/>
      <c r="D494" s="2"/>
      <c r="E494" s="2"/>
      <c r="F494" s="2"/>
      <c r="G494" s="2"/>
      <c r="H494" s="166"/>
      <c r="I494" s="166"/>
      <c r="AR494" s="166"/>
      <c r="AS494" s="166"/>
    </row>
    <row r="495" spans="1:45" ht="15">
      <c r="A495" s="3"/>
      <c r="B495" s="3"/>
      <c r="C495" s="3"/>
      <c r="D495" s="2"/>
      <c r="E495" s="2"/>
      <c r="F495" s="2"/>
      <c r="G495" s="2"/>
      <c r="H495" s="166"/>
      <c r="I495" s="166"/>
      <c r="AR495" s="166"/>
      <c r="AS495" s="166"/>
    </row>
    <row r="496" spans="1:45" ht="15">
      <c r="A496" s="3"/>
      <c r="B496" s="3"/>
      <c r="C496" s="3"/>
      <c r="D496" s="2"/>
      <c r="E496" s="2"/>
      <c r="F496" s="2"/>
      <c r="G496" s="2"/>
      <c r="H496" s="166"/>
      <c r="I496" s="166"/>
      <c r="AR496" s="166"/>
      <c r="AS496" s="166"/>
    </row>
    <row r="497" spans="1:45" ht="15">
      <c r="A497" s="3"/>
      <c r="B497" s="3"/>
      <c r="C497" s="3"/>
      <c r="D497" s="2"/>
      <c r="E497" s="2"/>
      <c r="F497" s="2"/>
      <c r="G497" s="2"/>
      <c r="H497" s="166"/>
      <c r="I497" s="166"/>
      <c r="AR497" s="166"/>
      <c r="AS497" s="166"/>
    </row>
    <row r="498" spans="1:45" ht="15">
      <c r="A498" s="3"/>
      <c r="B498" s="3"/>
      <c r="C498" s="3"/>
      <c r="D498" s="2"/>
      <c r="E498" s="2"/>
      <c r="F498" s="2"/>
      <c r="G498" s="2"/>
      <c r="H498" s="166"/>
      <c r="I498" s="166"/>
      <c r="AR498" s="166"/>
      <c r="AS498" s="166"/>
    </row>
    <row r="499" spans="1:45" ht="15">
      <c r="A499" s="3"/>
      <c r="B499" s="3"/>
      <c r="C499" s="3"/>
      <c r="D499" s="2"/>
      <c r="E499" s="2"/>
      <c r="F499" s="2"/>
      <c r="G499" s="2"/>
      <c r="H499" s="166"/>
      <c r="I499" s="166"/>
      <c r="AR499" s="166"/>
      <c r="AS499" s="166"/>
    </row>
    <row r="500" spans="1:45" ht="15">
      <c r="A500" s="3"/>
      <c r="B500" s="3"/>
      <c r="C500" s="3"/>
      <c r="D500" s="2"/>
      <c r="E500" s="2"/>
      <c r="F500" s="2"/>
      <c r="G500" s="2"/>
      <c r="H500" s="166"/>
      <c r="I500" s="166"/>
      <c r="AR500" s="166"/>
      <c r="AS500" s="166"/>
    </row>
    <row r="501" spans="1:45" ht="15">
      <c r="A501" s="3"/>
      <c r="B501" s="3"/>
      <c r="C501" s="3"/>
      <c r="D501" s="2"/>
      <c r="E501" s="2"/>
      <c r="F501" s="2"/>
      <c r="G501" s="2"/>
      <c r="H501" s="166"/>
      <c r="I501" s="166"/>
      <c r="AR501" s="166"/>
      <c r="AS501" s="166"/>
    </row>
    <row r="502" spans="1:45" ht="15">
      <c r="A502" s="3"/>
      <c r="B502" s="3"/>
      <c r="C502" s="3"/>
      <c r="D502" s="2"/>
      <c r="E502" s="2"/>
      <c r="F502" s="2"/>
      <c r="G502" s="2"/>
      <c r="H502" s="166"/>
      <c r="I502" s="166"/>
      <c r="AR502" s="166"/>
      <c r="AS502" s="166"/>
    </row>
    <row r="503" spans="1:45" ht="15">
      <c r="A503" s="3"/>
      <c r="B503" s="3"/>
      <c r="C503" s="3"/>
      <c r="D503" s="2"/>
      <c r="E503" s="2"/>
      <c r="F503" s="2"/>
      <c r="G503" s="2"/>
      <c r="H503" s="166"/>
      <c r="I503" s="166"/>
      <c r="AR503" s="166"/>
      <c r="AS503" s="166"/>
    </row>
    <row r="504" spans="1:45" ht="15">
      <c r="A504" s="3"/>
      <c r="B504" s="3"/>
      <c r="C504" s="3"/>
      <c r="D504" s="2"/>
      <c r="E504" s="2"/>
      <c r="F504" s="2"/>
      <c r="G504" s="2"/>
      <c r="H504" s="166"/>
      <c r="I504" s="166"/>
      <c r="AR504" s="166"/>
      <c r="AS504" s="166"/>
    </row>
    <row r="505" spans="1:45" ht="15">
      <c r="A505" s="3"/>
      <c r="B505" s="3"/>
      <c r="C505" s="3"/>
      <c r="D505" s="2"/>
      <c r="E505" s="2"/>
      <c r="F505" s="2"/>
      <c r="G505" s="2"/>
      <c r="H505" s="166"/>
      <c r="I505" s="166"/>
      <c r="AR505" s="166"/>
      <c r="AS505" s="166"/>
    </row>
    <row r="506" spans="1:45" ht="15">
      <c r="A506" s="3"/>
      <c r="B506" s="3"/>
      <c r="C506" s="3"/>
      <c r="D506" s="2"/>
      <c r="E506" s="2"/>
      <c r="F506" s="2"/>
      <c r="G506" s="2"/>
      <c r="H506" s="166"/>
      <c r="I506" s="166"/>
      <c r="AR506" s="166"/>
      <c r="AS506" s="166"/>
    </row>
    <row r="507" spans="1:45" ht="15">
      <c r="A507" s="3"/>
      <c r="B507" s="3"/>
      <c r="C507" s="3"/>
      <c r="D507" s="2"/>
      <c r="E507" s="2"/>
      <c r="F507" s="2"/>
      <c r="G507" s="2"/>
      <c r="H507" s="166"/>
      <c r="I507" s="166"/>
      <c r="AR507" s="166"/>
      <c r="AS507" s="166"/>
    </row>
  </sheetData>
  <dataValidations count="4">
    <dataValidation type="list" showInputMessage="1" showErrorMessage="1" sqref="B310:C507 B303:C307">
      <formula1>INDIRECT(A303)</formula1>
    </dataValidation>
    <dataValidation type="list" allowBlank="1" showInputMessage="1" showErrorMessage="1" sqref="B2:C302 B308:C309">
      <formula1>INDIRECT(A2)</formula1>
    </dataValidation>
    <dataValidation type="list" allowBlank="1" showInputMessage="1" showErrorMessage="1" sqref="A215:A309">
      <formula1>[3]list!#REF!</formula1>
    </dataValidation>
    <dataValidation type="list" allowBlank="1" showInputMessage="1" showErrorMessage="1" sqref="A2:A214 A310:A507">
      <formula1>list!$A$2:$A$3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H298"/>
  <sheetViews>
    <sheetView showZeros="0" zoomScale="60" zoomScaleNormal="60" workbookViewId="0" topLeftCell="A1">
      <pane xSplit="1" ySplit="4" topLeftCell="B5" activePane="bottomRight" state="frozen"/>
      <selection pane="topRight" activeCell="B1" sqref="B1"/>
      <selection pane="bottomLeft" activeCell="A4" sqref="A4"/>
      <selection pane="bottomRight" activeCell="A32" sqref="A32"/>
    </sheetView>
  </sheetViews>
  <sheetFormatPr defaultColWidth="9.140625" defaultRowHeight="15"/>
  <cols>
    <col min="1" max="1" width="11.00390625" style="2" customWidth="1"/>
    <col min="2" max="2" width="16.28125" style="2" customWidth="1"/>
    <col min="3" max="3" width="11.140625" style="180" customWidth="1"/>
    <col min="4" max="4" width="33.140625" style="0" customWidth="1"/>
    <col min="5" max="5" width="19.7109375" style="169" customWidth="1"/>
    <col min="6" max="6" width="28.28125" style="0" customWidth="1"/>
    <col min="7" max="7" width="21.7109375" style="169" customWidth="1"/>
    <col min="8" max="8" width="29.28125" style="169" customWidth="1"/>
    <col min="9" max="9" width="26.421875" style="169" customWidth="1"/>
    <col min="10" max="10" width="22.8515625" style="169" customWidth="1"/>
    <col min="11" max="11" width="25.00390625" style="169" customWidth="1"/>
    <col min="12" max="12" width="37.28125" style="0" customWidth="1"/>
    <col min="13" max="13" width="20.421875" style="0" customWidth="1"/>
    <col min="14" max="14" width="19.421875" style="169" customWidth="1"/>
    <col min="15" max="15" width="18.421875" style="0" bestFit="1" customWidth="1"/>
    <col min="16" max="16" width="16.7109375" style="0" bestFit="1" customWidth="1"/>
    <col min="17" max="17" width="10.57421875" style="0" customWidth="1"/>
    <col min="18" max="18" width="13.57421875" style="0" customWidth="1"/>
    <col min="19" max="19" width="22.8515625" style="5" customWidth="1"/>
    <col min="20" max="20" width="24.00390625" style="169" customWidth="1"/>
    <col min="21" max="21" width="19.140625" style="169" customWidth="1"/>
    <col min="22" max="22" width="28.421875" style="0" customWidth="1"/>
    <col min="23" max="23" width="24.8515625" style="169" customWidth="1"/>
    <col min="24" max="24" width="9.140625" style="5" customWidth="1"/>
    <col min="59" max="60" width="9.140625" style="5" customWidth="1"/>
  </cols>
  <sheetData>
    <row r="1" spans="1:59" s="2" customFormat="1" ht="36">
      <c r="A1" s="282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181"/>
      <c r="U1" s="181"/>
      <c r="BF1" s="283"/>
      <c r="BG1" s="283"/>
    </row>
    <row r="2" spans="1:59" s="2" customFormat="1" ht="36">
      <c r="A2" s="282" t="s">
        <v>815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34"/>
      <c r="U2" s="181"/>
      <c r="BF2" s="283"/>
      <c r="BG2" s="283"/>
    </row>
    <row r="3" spans="1:59" s="39" customFormat="1" ht="18" customHeight="1">
      <c r="A3" s="328" t="str">
        <f>Report_Date</f>
        <v>Juin 2013</v>
      </c>
      <c r="B3" s="328"/>
      <c r="C3" s="328"/>
      <c r="D3" s="182"/>
      <c r="E3" s="182"/>
      <c r="F3" s="182"/>
      <c r="G3" s="182"/>
      <c r="H3" s="182"/>
      <c r="I3" s="182"/>
      <c r="J3" s="182"/>
      <c r="L3" s="182"/>
      <c r="M3" s="182"/>
      <c r="N3" s="182"/>
      <c r="O3" s="182"/>
      <c r="P3" s="182"/>
      <c r="Q3" s="182"/>
      <c r="R3" s="182"/>
      <c r="S3" s="284"/>
      <c r="T3" s="182"/>
      <c r="U3" s="182"/>
      <c r="BF3" s="284"/>
      <c r="BG3" s="284"/>
    </row>
    <row r="4" spans="1:60" ht="21.75" customHeight="1">
      <c r="A4" s="285" t="s">
        <v>428</v>
      </c>
      <c r="B4" s="285" t="s">
        <v>1078</v>
      </c>
      <c r="C4" s="279" t="s">
        <v>1061</v>
      </c>
      <c r="D4" s="280" t="s">
        <v>451</v>
      </c>
      <c r="E4" s="280" t="s">
        <v>1045</v>
      </c>
      <c r="F4" s="280" t="s">
        <v>0</v>
      </c>
      <c r="G4" s="281" t="s">
        <v>1046</v>
      </c>
      <c r="H4" s="281" t="s">
        <v>1047</v>
      </c>
      <c r="I4" s="281" t="s">
        <v>1049</v>
      </c>
      <c r="J4" s="281" t="s">
        <v>1048</v>
      </c>
      <c r="K4" s="281" t="s">
        <v>1050</v>
      </c>
      <c r="L4" s="280" t="s">
        <v>450</v>
      </c>
      <c r="M4" s="280" t="s">
        <v>449</v>
      </c>
      <c r="N4" s="280" t="s">
        <v>1058</v>
      </c>
      <c r="O4" s="280" t="s">
        <v>2</v>
      </c>
      <c r="P4" s="280" t="s">
        <v>3</v>
      </c>
      <c r="Q4" s="280" t="s">
        <v>4</v>
      </c>
      <c r="R4" s="280" t="s">
        <v>5</v>
      </c>
      <c r="S4" s="170" t="s">
        <v>1044</v>
      </c>
      <c r="T4" s="183" t="s">
        <v>1051</v>
      </c>
      <c r="U4" s="183" t="s">
        <v>1052</v>
      </c>
      <c r="V4" s="183" t="s">
        <v>467</v>
      </c>
      <c r="W4" s="183" t="s">
        <v>1056</v>
      </c>
      <c r="X4"/>
      <c r="BF4" s="5"/>
      <c r="BH4"/>
    </row>
    <row r="5" spans="1:33" s="308" customFormat="1" ht="15">
      <c r="A5" s="312">
        <v>1</v>
      </c>
      <c r="C5" s="313" t="s">
        <v>1076</v>
      </c>
      <c r="D5" s="308" t="s">
        <v>433</v>
      </c>
      <c r="F5" s="314" t="s">
        <v>7</v>
      </c>
      <c r="J5" s="315"/>
      <c r="K5" s="315"/>
      <c r="L5" s="314" t="s">
        <v>8</v>
      </c>
      <c r="M5" s="316" t="s">
        <v>6</v>
      </c>
      <c r="N5" s="317" t="s">
        <v>1319</v>
      </c>
      <c r="O5" s="317">
        <v>97.23883</v>
      </c>
      <c r="P5" s="317">
        <v>24.26072</v>
      </c>
      <c r="Q5" s="315">
        <v>219</v>
      </c>
      <c r="R5" s="315">
        <v>858</v>
      </c>
      <c r="S5" s="1">
        <f>Table_CampList[[#This Row],[Total]]/Table_CampList[[#This Row],[HH]]</f>
        <v>3.9178082191780823</v>
      </c>
      <c r="T5" s="313" t="s">
        <v>995</v>
      </c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</row>
    <row r="6" spans="1:33" s="308" customFormat="1" ht="15">
      <c r="A6" s="312">
        <v>2</v>
      </c>
      <c r="C6" s="313" t="s">
        <v>1076</v>
      </c>
      <c r="D6" s="308" t="s">
        <v>433</v>
      </c>
      <c r="F6" s="314" t="s">
        <v>7</v>
      </c>
      <c r="J6" s="315"/>
      <c r="K6" s="315"/>
      <c r="L6" s="314" t="s">
        <v>1321</v>
      </c>
      <c r="M6" s="316" t="s">
        <v>430</v>
      </c>
      <c r="N6" s="317" t="s">
        <v>1319</v>
      </c>
      <c r="O6" s="317">
        <v>97.25265</v>
      </c>
      <c r="P6" s="317">
        <v>24.260467</v>
      </c>
      <c r="Q6" s="315" t="s">
        <v>1320</v>
      </c>
      <c r="R6" s="315" t="s">
        <v>1320</v>
      </c>
      <c r="S6" s="1" t="e">
        <f>Table_CampList[[#This Row],[Total]]/Table_CampList[[#This Row],[HH]]</f>
        <v>#VALUE!</v>
      </c>
      <c r="T6" s="313" t="s">
        <v>960</v>
      </c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</row>
    <row r="7" spans="1:33" s="308" customFormat="1" ht="15">
      <c r="A7" s="312">
        <v>3</v>
      </c>
      <c r="C7" s="313" t="s">
        <v>1076</v>
      </c>
      <c r="D7" s="308" t="s">
        <v>433</v>
      </c>
      <c r="F7" s="314" t="s">
        <v>7</v>
      </c>
      <c r="J7" s="315"/>
      <c r="K7" s="315"/>
      <c r="L7" s="314" t="s">
        <v>12</v>
      </c>
      <c r="M7" s="316" t="s">
        <v>11</v>
      </c>
      <c r="N7" s="317" t="s">
        <v>1319</v>
      </c>
      <c r="O7" s="319"/>
      <c r="P7" s="319"/>
      <c r="Q7" s="315" t="s">
        <v>1320</v>
      </c>
      <c r="R7" s="315" t="s">
        <v>1320</v>
      </c>
      <c r="S7" s="1" t="e">
        <f>Table_CampList[[#This Row],[Total]]/Table_CampList[[#This Row],[HH]]</f>
        <v>#VALUE!</v>
      </c>
      <c r="T7" s="313" t="s">
        <v>1320</v>
      </c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</row>
    <row r="8" spans="1:33" s="308" customFormat="1" ht="15">
      <c r="A8" s="312">
        <v>4</v>
      </c>
      <c r="C8" s="313" t="s">
        <v>1076</v>
      </c>
      <c r="D8" s="308" t="s">
        <v>433</v>
      </c>
      <c r="F8" s="314" t="s">
        <v>7</v>
      </c>
      <c r="J8" s="315"/>
      <c r="K8" s="315"/>
      <c r="L8" s="314" t="s">
        <v>14</v>
      </c>
      <c r="M8" s="316" t="s">
        <v>13</v>
      </c>
      <c r="N8" s="317" t="s">
        <v>1319</v>
      </c>
      <c r="O8" s="319"/>
      <c r="P8" s="319"/>
      <c r="Q8" s="315">
        <v>284</v>
      </c>
      <c r="R8" s="315">
        <v>1276</v>
      </c>
      <c r="S8" s="1">
        <f>Table_CampList[[#This Row],[Total]]/Table_CampList[[#This Row],[HH]]</f>
        <v>4.492957746478873</v>
      </c>
      <c r="T8" s="313" t="s">
        <v>1320</v>
      </c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</row>
    <row r="9" spans="1:33" s="308" customFormat="1" ht="15">
      <c r="A9" s="312">
        <v>5</v>
      </c>
      <c r="C9" s="313" t="s">
        <v>1076</v>
      </c>
      <c r="D9" s="308" t="s">
        <v>433</v>
      </c>
      <c r="F9" s="314" t="s">
        <v>7</v>
      </c>
      <c r="J9" s="315"/>
      <c r="K9" s="315"/>
      <c r="L9" s="314" t="s">
        <v>16</v>
      </c>
      <c r="M9" s="316" t="s">
        <v>15</v>
      </c>
      <c r="N9" s="317" t="s">
        <v>1319</v>
      </c>
      <c r="O9" s="317">
        <v>97.23692</v>
      </c>
      <c r="P9" s="317">
        <v>24.24766</v>
      </c>
      <c r="Q9" s="315">
        <v>46</v>
      </c>
      <c r="R9" s="315">
        <v>210</v>
      </c>
      <c r="S9" s="1">
        <f>Table_CampList[[#This Row],[Total]]/Table_CampList[[#This Row],[HH]]</f>
        <v>4.565217391304348</v>
      </c>
      <c r="T9" s="313" t="s">
        <v>960</v>
      </c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</row>
    <row r="10" spans="1:33" s="308" customFormat="1" ht="15">
      <c r="A10" s="312">
        <v>6</v>
      </c>
      <c r="C10" s="313" t="s">
        <v>1076</v>
      </c>
      <c r="D10" s="308" t="s">
        <v>433</v>
      </c>
      <c r="F10" s="314" t="s">
        <v>7</v>
      </c>
      <c r="J10" s="315"/>
      <c r="K10" s="315"/>
      <c r="L10" s="314" t="s">
        <v>18</v>
      </c>
      <c r="M10" s="316" t="s">
        <v>17</v>
      </c>
      <c r="N10" s="317" t="s">
        <v>1319</v>
      </c>
      <c r="O10" s="317">
        <v>97.221556501</v>
      </c>
      <c r="P10" s="317">
        <v>24.262418021</v>
      </c>
      <c r="Q10" s="315">
        <v>3</v>
      </c>
      <c r="R10" s="315">
        <v>13</v>
      </c>
      <c r="S10" s="1">
        <f>Table_CampList[[#This Row],[Total]]/Table_CampList[[#This Row],[HH]]</f>
        <v>4.333333333333333</v>
      </c>
      <c r="T10" s="313" t="s">
        <v>1320</v>
      </c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</row>
    <row r="11" spans="1:33" s="308" customFormat="1" ht="15">
      <c r="A11" s="312">
        <v>7</v>
      </c>
      <c r="C11" s="313" t="s">
        <v>1076</v>
      </c>
      <c r="D11" s="308" t="s">
        <v>433</v>
      </c>
      <c r="F11" s="314" t="s">
        <v>7</v>
      </c>
      <c r="J11" s="315"/>
      <c r="K11" s="315"/>
      <c r="L11" s="314" t="s">
        <v>20</v>
      </c>
      <c r="M11" s="316" t="s">
        <v>19</v>
      </c>
      <c r="N11" s="317" t="s">
        <v>1319</v>
      </c>
      <c r="O11" s="317">
        <v>97.24163</v>
      </c>
      <c r="P11" s="317">
        <v>24.26611</v>
      </c>
      <c r="Q11" s="315">
        <v>63</v>
      </c>
      <c r="R11" s="315">
        <v>315</v>
      </c>
      <c r="S11" s="1">
        <f>Table_CampList[[#This Row],[Total]]/Table_CampList[[#This Row],[HH]]</f>
        <v>5</v>
      </c>
      <c r="T11" s="313" t="s">
        <v>960</v>
      </c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</row>
    <row r="12" spans="1:33" s="308" customFormat="1" ht="15">
      <c r="A12" s="312">
        <v>8</v>
      </c>
      <c r="C12" s="313" t="s">
        <v>1076</v>
      </c>
      <c r="D12" s="308" t="s">
        <v>433</v>
      </c>
      <c r="F12" s="314" t="s">
        <v>7</v>
      </c>
      <c r="J12" s="315"/>
      <c r="K12" s="315"/>
      <c r="L12" s="314" t="s">
        <v>10</v>
      </c>
      <c r="M12" s="316" t="s">
        <v>9</v>
      </c>
      <c r="N12" s="317" t="s">
        <v>1319</v>
      </c>
      <c r="O12" s="317">
        <v>97.2342</v>
      </c>
      <c r="P12" s="317">
        <v>24.253067</v>
      </c>
      <c r="Q12" s="315">
        <v>4</v>
      </c>
      <c r="R12" s="315">
        <v>12</v>
      </c>
      <c r="S12" s="1">
        <f>Table_CampList[[#This Row],[Total]]/Table_CampList[[#This Row],[HH]]</f>
        <v>3</v>
      </c>
      <c r="T12" s="313" t="s">
        <v>960</v>
      </c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8"/>
      <c r="AF12" s="318"/>
      <c r="AG12" s="318"/>
    </row>
    <row r="13" spans="1:33" s="308" customFormat="1" ht="15">
      <c r="A13" s="312">
        <v>9</v>
      </c>
      <c r="C13" s="313" t="s">
        <v>1076</v>
      </c>
      <c r="D13" s="308" t="s">
        <v>433</v>
      </c>
      <c r="F13" s="314" t="s">
        <v>7</v>
      </c>
      <c r="J13" s="315"/>
      <c r="K13" s="315"/>
      <c r="L13" s="314" t="s">
        <v>22</v>
      </c>
      <c r="M13" s="316" t="s">
        <v>21</v>
      </c>
      <c r="N13" s="317" t="s">
        <v>1319</v>
      </c>
      <c r="O13" s="317">
        <v>97.31586</v>
      </c>
      <c r="P13" s="317">
        <v>24.32638</v>
      </c>
      <c r="Q13" s="315">
        <v>21</v>
      </c>
      <c r="R13" s="315">
        <v>101</v>
      </c>
      <c r="S13" s="1">
        <f>Table_CampList[[#This Row],[Total]]/Table_CampList[[#This Row],[HH]]</f>
        <v>4.809523809523809</v>
      </c>
      <c r="T13" s="313" t="s">
        <v>995</v>
      </c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  <c r="AF13" s="318"/>
      <c r="AG13" s="318"/>
    </row>
    <row r="14" spans="1:33" s="308" customFormat="1" ht="15">
      <c r="A14" s="312">
        <v>10</v>
      </c>
      <c r="C14" s="313" t="s">
        <v>1076</v>
      </c>
      <c r="D14" s="308" t="s">
        <v>433</v>
      </c>
      <c r="F14" s="314" t="s">
        <v>7</v>
      </c>
      <c r="J14" s="315"/>
      <c r="K14" s="315"/>
      <c r="L14" s="314" t="s">
        <v>417</v>
      </c>
      <c r="M14" s="316" t="s">
        <v>429</v>
      </c>
      <c r="N14" s="317" t="s">
        <v>1319</v>
      </c>
      <c r="O14" s="317">
        <v>97.25265</v>
      </c>
      <c r="P14" s="317">
        <v>24.22235</v>
      </c>
      <c r="Q14" s="315">
        <v>17</v>
      </c>
      <c r="R14" s="315">
        <v>70</v>
      </c>
      <c r="S14" s="1">
        <f>Table_CampList[[#This Row],[Total]]/Table_CampList[[#This Row],[HH]]</f>
        <v>4.117647058823529</v>
      </c>
      <c r="T14" s="313" t="s">
        <v>960</v>
      </c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</row>
    <row r="15" spans="1:33" s="308" customFormat="1" ht="15">
      <c r="A15" s="312">
        <v>11</v>
      </c>
      <c r="C15" s="313" t="s">
        <v>1076</v>
      </c>
      <c r="D15" s="308" t="s">
        <v>433</v>
      </c>
      <c r="F15" s="314" t="s">
        <v>7</v>
      </c>
      <c r="J15" s="315"/>
      <c r="K15" s="315"/>
      <c r="L15" s="314" t="s">
        <v>24</v>
      </c>
      <c r="M15" s="316" t="s">
        <v>23</v>
      </c>
      <c r="N15" s="317" t="s">
        <v>1319</v>
      </c>
      <c r="O15" s="317">
        <v>97.22877</v>
      </c>
      <c r="P15" s="317">
        <v>24.26502</v>
      </c>
      <c r="Q15" s="315">
        <v>514</v>
      </c>
      <c r="R15" s="315">
        <v>2487</v>
      </c>
      <c r="S15" s="1">
        <f>Table_CampList[[#This Row],[Total]]/Table_CampList[[#This Row],[HH]]</f>
        <v>4.83852140077821</v>
      </c>
      <c r="T15" s="313" t="s">
        <v>960</v>
      </c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8"/>
      <c r="AG15" s="318"/>
    </row>
    <row r="16" spans="1:33" s="308" customFormat="1" ht="15">
      <c r="A16" s="312">
        <v>12</v>
      </c>
      <c r="C16" s="313" t="s">
        <v>1076</v>
      </c>
      <c r="D16" s="308" t="s">
        <v>433</v>
      </c>
      <c r="F16" s="314" t="s">
        <v>7</v>
      </c>
      <c r="J16" s="315"/>
      <c r="K16" s="315"/>
      <c r="L16" s="314" t="s">
        <v>26</v>
      </c>
      <c r="M16" s="316" t="s">
        <v>25</v>
      </c>
      <c r="N16" s="317" t="s">
        <v>1319</v>
      </c>
      <c r="O16" s="317">
        <v>97.22779</v>
      </c>
      <c r="P16" s="317">
        <v>24.29138</v>
      </c>
      <c r="Q16" s="315">
        <v>74</v>
      </c>
      <c r="R16" s="315">
        <v>318</v>
      </c>
      <c r="S16" s="1">
        <f>Table_CampList[[#This Row],[Total]]/Table_CampList[[#This Row],[HH]]</f>
        <v>4.297297297297297</v>
      </c>
      <c r="T16" s="313" t="s">
        <v>960</v>
      </c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8"/>
    </row>
    <row r="17" spans="1:33" s="308" customFormat="1" ht="15">
      <c r="A17" s="312">
        <v>13</v>
      </c>
      <c r="C17" s="313" t="s">
        <v>1076</v>
      </c>
      <c r="D17" s="308" t="s">
        <v>433</v>
      </c>
      <c r="F17" s="314" t="s">
        <v>7</v>
      </c>
      <c r="J17" s="315"/>
      <c r="K17" s="315"/>
      <c r="L17" s="314" t="s">
        <v>28</v>
      </c>
      <c r="M17" s="316" t="s">
        <v>27</v>
      </c>
      <c r="N17" s="317" t="s">
        <v>1319</v>
      </c>
      <c r="O17" s="317">
        <v>97.24064</v>
      </c>
      <c r="P17" s="317">
        <v>24.24953</v>
      </c>
      <c r="Q17" s="315">
        <v>31</v>
      </c>
      <c r="R17" s="315">
        <v>108</v>
      </c>
      <c r="S17" s="1">
        <f>Table_CampList[[#This Row],[Total]]/Table_CampList[[#This Row],[HH]]</f>
        <v>3.4838709677419355</v>
      </c>
      <c r="T17" s="313" t="s">
        <v>960</v>
      </c>
      <c r="U17" s="318"/>
      <c r="V17" s="318"/>
      <c r="W17" s="318"/>
      <c r="X17" s="318"/>
      <c r="Y17" s="318"/>
      <c r="Z17" s="318"/>
      <c r="AA17" s="318"/>
      <c r="AB17" s="318"/>
      <c r="AC17" s="318"/>
      <c r="AD17" s="318"/>
      <c r="AE17" s="318"/>
      <c r="AF17" s="318"/>
      <c r="AG17" s="318"/>
    </row>
    <row r="18" spans="1:33" s="308" customFormat="1" ht="15">
      <c r="A18" s="312">
        <v>14</v>
      </c>
      <c r="C18" s="313" t="s">
        <v>1076</v>
      </c>
      <c r="D18" s="308" t="s">
        <v>433</v>
      </c>
      <c r="F18" s="314" t="s">
        <v>29</v>
      </c>
      <c r="J18" s="315"/>
      <c r="K18" s="315"/>
      <c r="L18" s="314" t="s">
        <v>30</v>
      </c>
      <c r="M18" s="316" t="s">
        <v>32</v>
      </c>
      <c r="N18" s="317" t="s">
        <v>1319</v>
      </c>
      <c r="O18" s="319"/>
      <c r="P18" s="319"/>
      <c r="Q18" s="315" t="s">
        <v>1320</v>
      </c>
      <c r="R18" s="315">
        <v>353</v>
      </c>
      <c r="S18" s="1" t="e">
        <f>Table_CampList[[#This Row],[Total]]/Table_CampList[[#This Row],[HH]]</f>
        <v>#VALUE!</v>
      </c>
      <c r="T18" s="313" t="s">
        <v>1262</v>
      </c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</row>
    <row r="19" spans="1:33" s="308" customFormat="1" ht="15">
      <c r="A19" s="312">
        <v>15</v>
      </c>
      <c r="C19" s="313" t="s">
        <v>1076</v>
      </c>
      <c r="D19" s="308" t="s">
        <v>433</v>
      </c>
      <c r="F19" s="314" t="s">
        <v>29</v>
      </c>
      <c r="J19" s="315"/>
      <c r="K19" s="315"/>
      <c r="L19" s="314" t="s">
        <v>34</v>
      </c>
      <c r="M19" s="316" t="s">
        <v>33</v>
      </c>
      <c r="N19" s="317" t="s">
        <v>1319</v>
      </c>
      <c r="O19" s="319"/>
      <c r="P19" s="319"/>
      <c r="Q19" s="315" t="s">
        <v>1320</v>
      </c>
      <c r="R19" s="315" t="s">
        <v>1320</v>
      </c>
      <c r="S19" s="1" t="e">
        <f>Table_CampList[[#This Row],[Total]]/Table_CampList[[#This Row],[HH]]</f>
        <v>#VALUE!</v>
      </c>
      <c r="T19" s="313" t="s">
        <v>1320</v>
      </c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18"/>
      <c r="AF19" s="318"/>
      <c r="AG19" s="318"/>
    </row>
    <row r="20" spans="1:33" s="308" customFormat="1" ht="15">
      <c r="A20" s="312">
        <v>16</v>
      </c>
      <c r="C20" s="313" t="s">
        <v>1076</v>
      </c>
      <c r="D20" s="308" t="s">
        <v>433</v>
      </c>
      <c r="F20" s="314" t="s">
        <v>29</v>
      </c>
      <c r="J20" s="315"/>
      <c r="K20" s="315"/>
      <c r="L20" s="314" t="s">
        <v>415</v>
      </c>
      <c r="M20" s="316" t="s">
        <v>31</v>
      </c>
      <c r="N20" s="317" t="s">
        <v>1319</v>
      </c>
      <c r="O20" s="319"/>
      <c r="P20" s="319"/>
      <c r="Q20" s="315" t="s">
        <v>1320</v>
      </c>
      <c r="R20" s="315" t="s">
        <v>1320</v>
      </c>
      <c r="S20" s="1" t="e">
        <f>Table_CampList[[#This Row],[Total]]/Table_CampList[[#This Row],[HH]]</f>
        <v>#VALUE!</v>
      </c>
      <c r="T20" s="313" t="s">
        <v>1322</v>
      </c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</row>
    <row r="21" spans="1:33" s="308" customFormat="1" ht="15">
      <c r="A21" s="312">
        <v>17</v>
      </c>
      <c r="C21" s="313" t="s">
        <v>1076</v>
      </c>
      <c r="D21" s="308" t="s">
        <v>433</v>
      </c>
      <c r="F21" s="314" t="s">
        <v>29</v>
      </c>
      <c r="J21" s="315"/>
      <c r="K21" s="315"/>
      <c r="L21" s="314" t="s">
        <v>36</v>
      </c>
      <c r="M21" s="316" t="s">
        <v>35</v>
      </c>
      <c r="N21" s="317" t="s">
        <v>1319</v>
      </c>
      <c r="O21" s="317">
        <v>98.354147</v>
      </c>
      <c r="P21" s="317">
        <v>25.708763</v>
      </c>
      <c r="Q21" s="315" t="s">
        <v>1320</v>
      </c>
      <c r="R21" s="315" t="s">
        <v>1320</v>
      </c>
      <c r="S21" s="1" t="e">
        <f>Table_CampList[[#This Row],[Total]]/Table_CampList[[#This Row],[HH]]</f>
        <v>#VALUE!</v>
      </c>
      <c r="T21" s="313" t="s">
        <v>1320</v>
      </c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</row>
    <row r="22" spans="1:33" s="308" customFormat="1" ht="15">
      <c r="A22" s="312">
        <v>18</v>
      </c>
      <c r="C22" s="313" t="s">
        <v>1076</v>
      </c>
      <c r="D22" s="308" t="s">
        <v>433</v>
      </c>
      <c r="F22" s="314" t="s">
        <v>29</v>
      </c>
      <c r="J22" s="315"/>
      <c r="K22" s="315"/>
      <c r="L22" s="314" t="s">
        <v>416</v>
      </c>
      <c r="M22" s="316" t="s">
        <v>431</v>
      </c>
      <c r="N22" s="317" t="s">
        <v>1319</v>
      </c>
      <c r="O22" s="319"/>
      <c r="P22" s="319"/>
      <c r="Q22" s="315">
        <f>Table_CampList[[#This Row],[Total]]/5</f>
        <v>95.4</v>
      </c>
      <c r="R22" s="315">
        <v>477</v>
      </c>
      <c r="S22" s="1">
        <f>Table_CampList[[#This Row],[Total]]/Table_CampList[[#This Row],[HH]]</f>
        <v>5</v>
      </c>
      <c r="T22" s="313" t="s">
        <v>1320</v>
      </c>
      <c r="U22" s="318"/>
      <c r="V22" s="318"/>
      <c r="W22" s="318"/>
      <c r="X22" s="318"/>
      <c r="Y22" s="318"/>
      <c r="Z22" s="318"/>
      <c r="AA22" s="318"/>
      <c r="AB22" s="318"/>
      <c r="AC22" s="318"/>
      <c r="AD22" s="318"/>
      <c r="AE22" s="318"/>
      <c r="AF22" s="318"/>
      <c r="AG22" s="318"/>
    </row>
    <row r="23" spans="1:33" s="308" customFormat="1" ht="15">
      <c r="A23" s="312">
        <v>19</v>
      </c>
      <c r="C23" s="313" t="s">
        <v>1076</v>
      </c>
      <c r="D23" s="308" t="s">
        <v>433</v>
      </c>
      <c r="F23" s="314" t="s">
        <v>29</v>
      </c>
      <c r="J23" s="315"/>
      <c r="K23" s="315"/>
      <c r="L23" s="314" t="s">
        <v>39</v>
      </c>
      <c r="M23" s="316" t="s">
        <v>38</v>
      </c>
      <c r="N23" s="317" t="s">
        <v>1319</v>
      </c>
      <c r="O23" s="319"/>
      <c r="P23" s="319"/>
      <c r="Q23" s="315" t="s">
        <v>1320</v>
      </c>
      <c r="R23" s="315" t="s">
        <v>1320</v>
      </c>
      <c r="S23" s="1" t="e">
        <f>Table_CampList[[#This Row],[Total]]/Table_CampList[[#This Row],[HH]]</f>
        <v>#VALUE!</v>
      </c>
      <c r="T23" s="313" t="s">
        <v>1320</v>
      </c>
      <c r="U23" s="318"/>
      <c r="V23" s="318"/>
      <c r="W23" s="318"/>
      <c r="X23" s="318"/>
      <c r="Y23" s="318"/>
      <c r="Z23" s="318"/>
      <c r="AA23" s="318"/>
      <c r="AB23" s="318"/>
      <c r="AC23" s="318"/>
      <c r="AD23" s="318"/>
      <c r="AE23" s="318"/>
      <c r="AF23" s="318"/>
      <c r="AG23" s="318"/>
    </row>
    <row r="24" spans="1:33" s="308" customFormat="1" ht="15">
      <c r="A24" s="312">
        <v>21</v>
      </c>
      <c r="C24" s="313" t="s">
        <v>1076</v>
      </c>
      <c r="D24" s="308" t="s">
        <v>433</v>
      </c>
      <c r="F24" s="314" t="s">
        <v>41</v>
      </c>
      <c r="J24" s="315"/>
      <c r="K24" s="315"/>
      <c r="L24" s="314" t="s">
        <v>66</v>
      </c>
      <c r="M24" s="316" t="s">
        <v>65</v>
      </c>
      <c r="N24" s="317" t="s">
        <v>1319</v>
      </c>
      <c r="O24" s="317">
        <v>96.35527</v>
      </c>
      <c r="P24" s="317">
        <v>25.65613</v>
      </c>
      <c r="Q24" s="315">
        <v>164</v>
      </c>
      <c r="R24" s="315">
        <v>546</v>
      </c>
      <c r="S24" s="1">
        <f>Table_CampList[[#This Row],[Total]]/Table_CampList[[#This Row],[HH]]</f>
        <v>3.3292682926829267</v>
      </c>
      <c r="T24" s="313" t="s">
        <v>996</v>
      </c>
      <c r="U24" s="318"/>
      <c r="V24" s="318"/>
      <c r="W24" s="318"/>
      <c r="X24" s="318"/>
      <c r="Y24" s="318"/>
      <c r="Z24" s="318"/>
      <c r="AA24" s="318"/>
      <c r="AB24" s="318"/>
      <c r="AC24" s="318"/>
      <c r="AD24" s="318"/>
      <c r="AE24" s="318"/>
      <c r="AF24" s="318"/>
      <c r="AG24" s="318"/>
    </row>
    <row r="25" spans="1:33" s="308" customFormat="1" ht="15">
      <c r="A25" s="312">
        <v>22</v>
      </c>
      <c r="C25" s="313" t="s">
        <v>1076</v>
      </c>
      <c r="D25" s="308" t="s">
        <v>433</v>
      </c>
      <c r="F25" s="314" t="s">
        <v>41</v>
      </c>
      <c r="J25" s="315"/>
      <c r="K25" s="315"/>
      <c r="L25" s="314" t="s">
        <v>124</v>
      </c>
      <c r="M25" s="316" t="s">
        <v>123</v>
      </c>
      <c r="N25" s="317" t="s">
        <v>1319</v>
      </c>
      <c r="O25" s="317">
        <v>96.35307</v>
      </c>
      <c r="P25" s="317">
        <v>25.65582</v>
      </c>
      <c r="Q25" s="315">
        <v>164</v>
      </c>
      <c r="R25" s="315">
        <v>649</v>
      </c>
      <c r="S25" s="1">
        <f>Table_CampList[[#This Row],[Total]]/Table_CampList[[#This Row],[HH]]</f>
        <v>3.957317073170732</v>
      </c>
      <c r="T25" s="313" t="s">
        <v>1320</v>
      </c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  <c r="AF25" s="318"/>
      <c r="AG25" s="318"/>
    </row>
    <row r="26" spans="1:33" s="308" customFormat="1" ht="15">
      <c r="A26" s="312">
        <v>23</v>
      </c>
      <c r="C26" s="313" t="s">
        <v>1076</v>
      </c>
      <c r="D26" s="308" t="s">
        <v>433</v>
      </c>
      <c r="F26" s="314" t="s">
        <v>41</v>
      </c>
      <c r="J26" s="315"/>
      <c r="K26" s="315"/>
      <c r="L26" s="314" t="s">
        <v>44</v>
      </c>
      <c r="M26" s="316" t="s">
        <v>43</v>
      </c>
      <c r="N26" s="317" t="s">
        <v>1319</v>
      </c>
      <c r="O26" s="317">
        <v>96.34557</v>
      </c>
      <c r="P26" s="317">
        <v>25.6353</v>
      </c>
      <c r="Q26" s="315">
        <v>42</v>
      </c>
      <c r="R26" s="315">
        <v>190</v>
      </c>
      <c r="S26" s="1">
        <f>Table_CampList[[#This Row],[Total]]/Table_CampList[[#This Row],[HH]]</f>
        <v>4.523809523809524</v>
      </c>
      <c r="T26" s="313" t="s">
        <v>1320</v>
      </c>
      <c r="U26" s="318"/>
      <c r="V26" s="318"/>
      <c r="W26" s="318"/>
      <c r="X26" s="318"/>
      <c r="Y26" s="318"/>
      <c r="Z26" s="318"/>
      <c r="AA26" s="318"/>
      <c r="AB26" s="318"/>
      <c r="AC26" s="318"/>
      <c r="AD26" s="318"/>
      <c r="AE26" s="318"/>
      <c r="AF26" s="318"/>
      <c r="AG26" s="318"/>
    </row>
    <row r="27" spans="1:33" s="308" customFormat="1" ht="15">
      <c r="A27" s="312">
        <v>24</v>
      </c>
      <c r="C27" s="313" t="s">
        <v>1076</v>
      </c>
      <c r="D27" s="308" t="s">
        <v>433</v>
      </c>
      <c r="F27" s="314" t="s">
        <v>41</v>
      </c>
      <c r="J27" s="315"/>
      <c r="K27" s="315"/>
      <c r="L27" s="314" t="s">
        <v>46</v>
      </c>
      <c r="M27" s="316" t="s">
        <v>45</v>
      </c>
      <c r="N27" s="317" t="s">
        <v>1319</v>
      </c>
      <c r="O27" s="317">
        <v>96.31735</v>
      </c>
      <c r="P27" s="317">
        <v>25.616509</v>
      </c>
      <c r="Q27" s="315">
        <v>20</v>
      </c>
      <c r="R27" s="315">
        <v>90</v>
      </c>
      <c r="S27" s="1">
        <f>Table_CampList[[#This Row],[Total]]/Table_CampList[[#This Row],[HH]]</f>
        <v>4.5</v>
      </c>
      <c r="T27" s="313" t="s">
        <v>1320</v>
      </c>
      <c r="U27" s="318"/>
      <c r="V27" s="318"/>
      <c r="W27" s="318"/>
      <c r="X27" s="318"/>
      <c r="Y27" s="318"/>
      <c r="Z27" s="318"/>
      <c r="AA27" s="318"/>
      <c r="AB27" s="318"/>
      <c r="AC27" s="318"/>
      <c r="AD27" s="318"/>
      <c r="AE27" s="318"/>
      <c r="AF27" s="318"/>
      <c r="AG27" s="318"/>
    </row>
    <row r="28" spans="1:33" s="308" customFormat="1" ht="15">
      <c r="A28" s="312">
        <v>26</v>
      </c>
      <c r="C28" s="313" t="s">
        <v>1076</v>
      </c>
      <c r="D28" s="308" t="s">
        <v>433</v>
      </c>
      <c r="F28" s="314" t="s">
        <v>41</v>
      </c>
      <c r="J28" s="315"/>
      <c r="K28" s="315"/>
      <c r="L28" s="314" t="s">
        <v>50</v>
      </c>
      <c r="M28" s="316" t="s">
        <v>49</v>
      </c>
      <c r="N28" s="317" t="s">
        <v>1319</v>
      </c>
      <c r="O28" s="317">
        <v>96.33959</v>
      </c>
      <c r="P28" s="317">
        <v>25.617998</v>
      </c>
      <c r="Q28" s="315">
        <v>29</v>
      </c>
      <c r="R28" s="315">
        <v>98</v>
      </c>
      <c r="S28" s="1">
        <f>Table_CampList[[#This Row],[Total]]/Table_CampList[[#This Row],[HH]]</f>
        <v>3.3793103448275863</v>
      </c>
      <c r="T28" s="313" t="s">
        <v>1320</v>
      </c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8"/>
      <c r="AF28" s="318"/>
      <c r="AG28" s="318"/>
    </row>
    <row r="29" spans="1:33" s="308" customFormat="1" ht="15">
      <c r="A29" s="312">
        <v>29</v>
      </c>
      <c r="C29" s="313" t="s">
        <v>1076</v>
      </c>
      <c r="D29" s="308" t="s">
        <v>433</v>
      </c>
      <c r="F29" s="314" t="s">
        <v>41</v>
      </c>
      <c r="J29" s="315"/>
      <c r="K29" s="315"/>
      <c r="L29" s="314" t="s">
        <v>56</v>
      </c>
      <c r="M29" s="316" t="s">
        <v>55</v>
      </c>
      <c r="N29" s="317" t="s">
        <v>1319</v>
      </c>
      <c r="O29" s="317">
        <v>96.34647</v>
      </c>
      <c r="P29" s="317">
        <v>25.64765</v>
      </c>
      <c r="Q29" s="315">
        <v>107</v>
      </c>
      <c r="R29" s="315">
        <v>441</v>
      </c>
      <c r="S29" s="1">
        <f>Table_CampList[[#This Row],[Total]]/Table_CampList[[#This Row],[HH]]</f>
        <v>4.121495327102804</v>
      </c>
      <c r="T29" s="313" t="s">
        <v>996</v>
      </c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  <c r="AF29" s="318"/>
      <c r="AG29" s="318"/>
    </row>
    <row r="30" spans="1:33" s="308" customFormat="1" ht="15">
      <c r="A30" s="312">
        <v>30</v>
      </c>
      <c r="C30" s="313" t="s">
        <v>1076</v>
      </c>
      <c r="D30" s="308" t="s">
        <v>433</v>
      </c>
      <c r="F30" s="314" t="s">
        <v>41</v>
      </c>
      <c r="J30" s="315"/>
      <c r="K30" s="315"/>
      <c r="L30" s="314" t="s">
        <v>62</v>
      </c>
      <c r="M30" s="316" t="s">
        <v>61</v>
      </c>
      <c r="N30" s="317" t="s">
        <v>1319</v>
      </c>
      <c r="O30" s="317">
        <v>96.673805</v>
      </c>
      <c r="P30" s="317">
        <v>25.728653</v>
      </c>
      <c r="Q30" s="315">
        <v>16</v>
      </c>
      <c r="R30" s="315">
        <v>68</v>
      </c>
      <c r="S30" s="1">
        <f>Table_CampList[[#This Row],[Total]]/Table_CampList[[#This Row],[HH]]</f>
        <v>4.25</v>
      </c>
      <c r="T30" s="313" t="s">
        <v>1320</v>
      </c>
      <c r="U30" s="318"/>
      <c r="V30" s="318"/>
      <c r="W30" s="318"/>
      <c r="X30" s="318"/>
      <c r="Y30" s="318"/>
      <c r="Z30" s="318"/>
      <c r="AA30" s="318"/>
      <c r="AB30" s="318"/>
      <c r="AC30" s="318"/>
      <c r="AD30" s="318"/>
      <c r="AE30" s="318"/>
      <c r="AF30" s="318"/>
      <c r="AG30" s="318"/>
    </row>
    <row r="31" spans="1:33" s="308" customFormat="1" ht="15">
      <c r="A31" s="312">
        <v>31</v>
      </c>
      <c r="C31" s="313" t="s">
        <v>1076</v>
      </c>
      <c r="D31" s="308" t="s">
        <v>433</v>
      </c>
      <c r="F31" s="314" t="s">
        <v>41</v>
      </c>
      <c r="J31" s="315"/>
      <c r="K31" s="315"/>
      <c r="L31" s="314" t="s">
        <v>64</v>
      </c>
      <c r="M31" s="316" t="s">
        <v>63</v>
      </c>
      <c r="N31" s="317" t="s">
        <v>1319</v>
      </c>
      <c r="O31" s="319"/>
      <c r="P31" s="319"/>
      <c r="Q31" s="315">
        <v>11</v>
      </c>
      <c r="R31" s="315">
        <v>43</v>
      </c>
      <c r="S31" s="1">
        <f>Table_CampList[[#This Row],[Total]]/Table_CampList[[#This Row],[HH]]</f>
        <v>3.909090909090909</v>
      </c>
      <c r="T31" s="313" t="s">
        <v>996</v>
      </c>
      <c r="U31" s="318"/>
      <c r="V31" s="318"/>
      <c r="W31" s="318"/>
      <c r="X31" s="318"/>
      <c r="Y31" s="318"/>
      <c r="Z31" s="318"/>
      <c r="AA31" s="318"/>
      <c r="AB31" s="318"/>
      <c r="AC31" s="318"/>
      <c r="AD31" s="318"/>
      <c r="AE31" s="318"/>
      <c r="AF31" s="318"/>
      <c r="AG31" s="318"/>
    </row>
    <row r="32" spans="1:33" s="308" customFormat="1" ht="15">
      <c r="A32" s="312">
        <v>32</v>
      </c>
      <c r="C32" s="313" t="s">
        <v>1076</v>
      </c>
      <c r="D32" s="308" t="s">
        <v>433</v>
      </c>
      <c r="F32" s="314" t="s">
        <v>41</v>
      </c>
      <c r="J32" s="315"/>
      <c r="K32" s="315"/>
      <c r="L32" s="314" t="s">
        <v>76</v>
      </c>
      <c r="M32" s="316" t="s">
        <v>75</v>
      </c>
      <c r="N32" s="317" t="s">
        <v>1319</v>
      </c>
      <c r="O32" s="317">
        <v>96.283377</v>
      </c>
      <c r="P32" s="317">
        <v>25.582065</v>
      </c>
      <c r="Q32" s="315">
        <v>9</v>
      </c>
      <c r="R32" s="315">
        <v>35</v>
      </c>
      <c r="S32" s="1">
        <f>Table_CampList[[#This Row],[Total]]/Table_CampList[[#This Row],[HH]]</f>
        <v>3.888888888888889</v>
      </c>
      <c r="T32" s="313" t="s">
        <v>1320</v>
      </c>
      <c r="U32" s="318"/>
      <c r="V32" s="318"/>
      <c r="W32" s="318"/>
      <c r="X32" s="318"/>
      <c r="Y32" s="318"/>
      <c r="Z32" s="318"/>
      <c r="AA32" s="318"/>
      <c r="AB32" s="318"/>
      <c r="AC32" s="318"/>
      <c r="AD32" s="318"/>
      <c r="AE32" s="318"/>
      <c r="AF32" s="318"/>
      <c r="AG32" s="318"/>
    </row>
    <row r="33" spans="1:33" s="308" customFormat="1" ht="15">
      <c r="A33" s="312">
        <v>34</v>
      </c>
      <c r="C33" s="313" t="s">
        <v>1076</v>
      </c>
      <c r="D33" s="308" t="s">
        <v>433</v>
      </c>
      <c r="F33" s="314" t="s">
        <v>41</v>
      </c>
      <c r="J33" s="315"/>
      <c r="K33" s="315"/>
      <c r="L33" s="314" t="s">
        <v>80</v>
      </c>
      <c r="M33" s="316" t="s">
        <v>79</v>
      </c>
      <c r="N33" s="317" t="s">
        <v>1319</v>
      </c>
      <c r="O33" s="317">
        <v>96.35493</v>
      </c>
      <c r="P33" s="317">
        <v>25.64309</v>
      </c>
      <c r="Q33" s="315">
        <v>59</v>
      </c>
      <c r="R33" s="315">
        <v>282</v>
      </c>
      <c r="S33" s="1">
        <f>Table_CampList[[#This Row],[Total]]/Table_CampList[[#This Row],[HH]]</f>
        <v>4.779661016949152</v>
      </c>
      <c r="T33" s="313" t="s">
        <v>1320</v>
      </c>
      <c r="U33" s="318"/>
      <c r="V33" s="318"/>
      <c r="W33" s="318"/>
      <c r="X33" s="318"/>
      <c r="Y33" s="318"/>
      <c r="Z33" s="318"/>
      <c r="AA33" s="318"/>
      <c r="AB33" s="318"/>
      <c r="AC33" s="318"/>
      <c r="AD33" s="318"/>
      <c r="AE33" s="318"/>
      <c r="AF33" s="318"/>
      <c r="AG33" s="318"/>
    </row>
    <row r="34" spans="1:33" s="308" customFormat="1" ht="15">
      <c r="A34" s="312">
        <v>37</v>
      </c>
      <c r="C34" s="313" t="s">
        <v>1076</v>
      </c>
      <c r="D34" s="308" t="s">
        <v>433</v>
      </c>
      <c r="F34" s="314" t="s">
        <v>41</v>
      </c>
      <c r="J34" s="315"/>
      <c r="K34" s="315"/>
      <c r="L34" s="314" t="s">
        <v>92</v>
      </c>
      <c r="M34" s="316" t="s">
        <v>91</v>
      </c>
      <c r="N34" s="317" t="s">
        <v>1319</v>
      </c>
      <c r="O34" s="317">
        <v>96.70596</v>
      </c>
      <c r="P34" s="317">
        <v>25.51352</v>
      </c>
      <c r="Q34" s="315">
        <v>15</v>
      </c>
      <c r="R34" s="315">
        <v>47</v>
      </c>
      <c r="S34" s="1">
        <f>Table_CampList[[#This Row],[Total]]/Table_CampList[[#This Row],[HH]]</f>
        <v>3.1333333333333333</v>
      </c>
      <c r="T34" s="313" t="s">
        <v>1320</v>
      </c>
      <c r="U34" s="318"/>
      <c r="V34" s="318"/>
      <c r="W34" s="318"/>
      <c r="X34" s="318"/>
      <c r="Y34" s="318"/>
      <c r="Z34" s="318"/>
      <c r="AA34" s="318"/>
      <c r="AB34" s="318"/>
      <c r="AC34" s="318"/>
      <c r="AD34" s="318"/>
      <c r="AE34" s="318"/>
      <c r="AF34" s="318"/>
      <c r="AG34" s="318"/>
    </row>
    <row r="35" spans="1:33" s="308" customFormat="1" ht="15">
      <c r="A35" s="312">
        <v>38</v>
      </c>
      <c r="C35" s="313" t="s">
        <v>1076</v>
      </c>
      <c r="D35" s="308" t="s">
        <v>433</v>
      </c>
      <c r="F35" s="314" t="s">
        <v>41</v>
      </c>
      <c r="J35" s="315"/>
      <c r="K35" s="315"/>
      <c r="L35" s="314" t="s">
        <v>47</v>
      </c>
      <c r="M35" s="316" t="s">
        <v>48</v>
      </c>
      <c r="N35" s="317" t="s">
        <v>1319</v>
      </c>
      <c r="O35" s="317">
        <v>96.316564</v>
      </c>
      <c r="P35" s="317">
        <v>25.615961</v>
      </c>
      <c r="Q35" s="315">
        <v>28</v>
      </c>
      <c r="R35" s="315">
        <v>148</v>
      </c>
      <c r="S35" s="1">
        <f>Table_CampList[[#This Row],[Total]]/Table_CampList[[#This Row],[HH]]</f>
        <v>5.285714285714286</v>
      </c>
      <c r="T35" s="313" t="s">
        <v>1320</v>
      </c>
      <c r="U35" s="318"/>
      <c r="V35" s="318"/>
      <c r="W35" s="318"/>
      <c r="X35" s="318"/>
      <c r="Y35" s="318"/>
      <c r="Z35" s="318"/>
      <c r="AA35" s="318"/>
      <c r="AB35" s="318"/>
      <c r="AC35" s="318"/>
      <c r="AD35" s="318"/>
      <c r="AE35" s="318"/>
      <c r="AF35" s="318"/>
      <c r="AG35" s="318"/>
    </row>
    <row r="36" spans="1:33" s="308" customFormat="1" ht="15">
      <c r="A36" s="312">
        <v>40</v>
      </c>
      <c r="C36" s="313" t="s">
        <v>1076</v>
      </c>
      <c r="D36" s="308" t="s">
        <v>433</v>
      </c>
      <c r="F36" s="314" t="s">
        <v>41</v>
      </c>
      <c r="J36" s="315"/>
      <c r="K36" s="315"/>
      <c r="L36" s="314" t="s">
        <v>94</v>
      </c>
      <c r="M36" s="316" t="s">
        <v>93</v>
      </c>
      <c r="N36" s="317" t="s">
        <v>1319</v>
      </c>
      <c r="O36" s="319"/>
      <c r="P36" s="319"/>
      <c r="Q36" s="315">
        <v>37</v>
      </c>
      <c r="R36" s="315">
        <v>116</v>
      </c>
      <c r="S36" s="1">
        <f>Table_CampList[[#This Row],[Total]]/Table_CampList[[#This Row],[HH]]</f>
        <v>3.135135135135135</v>
      </c>
      <c r="T36" s="313" t="s">
        <v>1320</v>
      </c>
      <c r="U36" s="318"/>
      <c r="V36" s="318"/>
      <c r="W36" s="318"/>
      <c r="X36" s="318"/>
      <c r="Y36" s="318"/>
      <c r="Z36" s="318"/>
      <c r="AA36" s="318"/>
      <c r="AB36" s="318"/>
      <c r="AC36" s="318"/>
      <c r="AD36" s="318"/>
      <c r="AE36" s="318"/>
      <c r="AF36" s="318"/>
      <c r="AG36" s="318"/>
    </row>
    <row r="37" spans="1:33" s="308" customFormat="1" ht="15">
      <c r="A37" s="312">
        <v>41</v>
      </c>
      <c r="C37" s="313" t="s">
        <v>1076</v>
      </c>
      <c r="D37" s="308" t="s">
        <v>433</v>
      </c>
      <c r="F37" s="314" t="s">
        <v>41</v>
      </c>
      <c r="J37" s="315"/>
      <c r="K37" s="315"/>
      <c r="L37" s="314" t="s">
        <v>96</v>
      </c>
      <c r="M37" s="316" t="s">
        <v>95</v>
      </c>
      <c r="N37" s="317" t="s">
        <v>1319</v>
      </c>
      <c r="O37" s="317">
        <v>96.3164</v>
      </c>
      <c r="P37" s="317">
        <v>25.61842</v>
      </c>
      <c r="Q37" s="315">
        <v>11</v>
      </c>
      <c r="R37" s="315">
        <v>40</v>
      </c>
      <c r="S37" s="1">
        <f>Table_CampList[[#This Row],[Total]]/Table_CampList[[#This Row],[HH]]</f>
        <v>3.6363636363636362</v>
      </c>
      <c r="T37" s="313" t="s">
        <v>1320</v>
      </c>
      <c r="U37" s="318"/>
      <c r="V37" s="318"/>
      <c r="W37" s="318"/>
      <c r="X37" s="318"/>
      <c r="Y37" s="318"/>
      <c r="Z37" s="318"/>
      <c r="AA37" s="318"/>
      <c r="AB37" s="318"/>
      <c r="AC37" s="318"/>
      <c r="AD37" s="318"/>
      <c r="AE37" s="318"/>
      <c r="AF37" s="318"/>
      <c r="AG37" s="318"/>
    </row>
    <row r="38" spans="1:33" s="308" customFormat="1" ht="15">
      <c r="A38" s="312">
        <v>55</v>
      </c>
      <c r="C38" s="313" t="s">
        <v>1076</v>
      </c>
      <c r="D38" s="308" t="s">
        <v>433</v>
      </c>
      <c r="F38" s="314" t="s">
        <v>41</v>
      </c>
      <c r="J38" s="315"/>
      <c r="K38" s="315"/>
      <c r="L38" s="314" t="s">
        <v>104</v>
      </c>
      <c r="M38" s="316" t="s">
        <v>103</v>
      </c>
      <c r="N38" s="317" t="s">
        <v>1319</v>
      </c>
      <c r="O38" s="317">
        <v>96.319688</v>
      </c>
      <c r="P38" s="317">
        <v>25.615202</v>
      </c>
      <c r="Q38" s="315">
        <v>28</v>
      </c>
      <c r="R38" s="315">
        <v>82</v>
      </c>
      <c r="S38" s="1">
        <f>Table_CampList[[#This Row],[Total]]/Table_CampList[[#This Row],[HH]]</f>
        <v>2.9285714285714284</v>
      </c>
      <c r="T38" s="313" t="s">
        <v>1320</v>
      </c>
      <c r="U38" s="318"/>
      <c r="V38" s="318"/>
      <c r="W38" s="318"/>
      <c r="X38" s="318"/>
      <c r="Y38" s="318"/>
      <c r="Z38" s="318"/>
      <c r="AA38" s="318"/>
      <c r="AB38" s="318"/>
      <c r="AC38" s="318"/>
      <c r="AD38" s="318"/>
      <c r="AE38" s="318"/>
      <c r="AF38" s="318"/>
      <c r="AG38" s="318"/>
    </row>
    <row r="39" spans="1:33" s="308" customFormat="1" ht="15">
      <c r="A39" s="312">
        <v>58</v>
      </c>
      <c r="C39" s="313" t="s">
        <v>1076</v>
      </c>
      <c r="D39" s="308" t="s">
        <v>433</v>
      </c>
      <c r="F39" s="314" t="s">
        <v>41</v>
      </c>
      <c r="J39" s="315"/>
      <c r="K39" s="315"/>
      <c r="L39" s="314" t="s">
        <v>146</v>
      </c>
      <c r="M39" s="316" t="s">
        <v>145</v>
      </c>
      <c r="N39" s="317" t="s">
        <v>1319</v>
      </c>
      <c r="O39" s="317">
        <v>96.35416</v>
      </c>
      <c r="P39" s="317">
        <v>25.65867</v>
      </c>
      <c r="Q39" s="315">
        <v>26</v>
      </c>
      <c r="R39" s="315">
        <v>55</v>
      </c>
      <c r="S39" s="1">
        <f>Table_CampList[[#This Row],[Total]]/Table_CampList[[#This Row],[HH]]</f>
        <v>2.1153846153846154</v>
      </c>
      <c r="T39" s="313" t="s">
        <v>1320</v>
      </c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</row>
    <row r="40" spans="1:33" s="308" customFormat="1" ht="15">
      <c r="A40" s="312">
        <v>59</v>
      </c>
      <c r="C40" s="313" t="s">
        <v>1076</v>
      </c>
      <c r="D40" s="308" t="s">
        <v>433</v>
      </c>
      <c r="F40" s="314" t="s">
        <v>41</v>
      </c>
      <c r="J40" s="315"/>
      <c r="K40" s="315"/>
      <c r="L40" s="314" t="s">
        <v>112</v>
      </c>
      <c r="M40" s="316" t="s">
        <v>111</v>
      </c>
      <c r="N40" s="317" t="s">
        <v>1319</v>
      </c>
      <c r="O40" s="317">
        <v>96.341353</v>
      </c>
      <c r="P40" s="317">
        <v>25.613895</v>
      </c>
      <c r="Q40" s="315">
        <v>96</v>
      </c>
      <c r="R40" s="315">
        <v>332</v>
      </c>
      <c r="S40" s="1">
        <f>Table_CampList[[#This Row],[Total]]/Table_CampList[[#This Row],[HH]]</f>
        <v>3.4583333333333335</v>
      </c>
      <c r="T40" s="313" t="s">
        <v>1320</v>
      </c>
      <c r="U40" s="318"/>
      <c r="V40" s="318"/>
      <c r="W40" s="318"/>
      <c r="X40" s="318"/>
      <c r="Y40" s="318"/>
      <c r="Z40" s="318"/>
      <c r="AA40" s="318"/>
      <c r="AB40" s="318"/>
      <c r="AC40" s="318"/>
      <c r="AD40" s="318"/>
      <c r="AE40" s="318"/>
      <c r="AF40" s="318"/>
      <c r="AG40" s="318"/>
    </row>
    <row r="41" spans="1:33" s="308" customFormat="1" ht="15">
      <c r="A41" s="312">
        <v>60</v>
      </c>
      <c r="C41" s="313" t="s">
        <v>1076</v>
      </c>
      <c r="D41" s="308" t="s">
        <v>433</v>
      </c>
      <c r="F41" s="314" t="s">
        <v>41</v>
      </c>
      <c r="J41" s="315"/>
      <c r="K41" s="315"/>
      <c r="L41" s="314" t="s">
        <v>114</v>
      </c>
      <c r="M41" s="316" t="s">
        <v>113</v>
      </c>
      <c r="N41" s="317" t="s">
        <v>1319</v>
      </c>
      <c r="O41" s="317">
        <v>96.31279</v>
      </c>
      <c r="P41" s="317">
        <v>25.61116</v>
      </c>
      <c r="Q41" s="315">
        <v>143</v>
      </c>
      <c r="R41" s="315">
        <v>543</v>
      </c>
      <c r="S41" s="1">
        <f>Table_CampList[[#This Row],[Total]]/Table_CampList[[#This Row],[HH]]</f>
        <v>3.797202797202797</v>
      </c>
      <c r="T41" s="313" t="s">
        <v>996</v>
      </c>
      <c r="U41" s="318"/>
      <c r="V41" s="318"/>
      <c r="W41" s="318"/>
      <c r="X41" s="318"/>
      <c r="Y41" s="318"/>
      <c r="Z41" s="318"/>
      <c r="AA41" s="318"/>
      <c r="AB41" s="318"/>
      <c r="AC41" s="318"/>
      <c r="AD41" s="318"/>
      <c r="AE41" s="318"/>
      <c r="AF41" s="318"/>
      <c r="AG41" s="318"/>
    </row>
    <row r="42" spans="1:33" s="308" customFormat="1" ht="15">
      <c r="A42" s="312">
        <v>63</v>
      </c>
      <c r="C42" s="313" t="s">
        <v>1076</v>
      </c>
      <c r="D42" s="308" t="s">
        <v>433</v>
      </c>
      <c r="F42" s="314" t="s">
        <v>41</v>
      </c>
      <c r="J42" s="315"/>
      <c r="K42" s="315"/>
      <c r="L42" s="314" t="s">
        <v>122</v>
      </c>
      <c r="M42" s="316" t="s">
        <v>121</v>
      </c>
      <c r="N42" s="317" t="s">
        <v>1319</v>
      </c>
      <c r="O42" s="317">
        <v>96.2792</v>
      </c>
      <c r="P42" s="317">
        <v>25.56551</v>
      </c>
      <c r="Q42" s="315">
        <v>7</v>
      </c>
      <c r="R42" s="315">
        <v>30</v>
      </c>
      <c r="S42" s="1">
        <f>Table_CampList[[#This Row],[Total]]/Table_CampList[[#This Row],[HH]]</f>
        <v>4.285714285714286</v>
      </c>
      <c r="T42" s="313" t="s">
        <v>1320</v>
      </c>
      <c r="U42" s="318"/>
      <c r="V42" s="318"/>
      <c r="W42" s="318"/>
      <c r="X42" s="318"/>
      <c r="Y42" s="318"/>
      <c r="Z42" s="318"/>
      <c r="AA42" s="318"/>
      <c r="AB42" s="318"/>
      <c r="AC42" s="318"/>
      <c r="AD42" s="318"/>
      <c r="AE42" s="318"/>
      <c r="AF42" s="318"/>
      <c r="AG42" s="318"/>
    </row>
    <row r="43" spans="1:33" s="308" customFormat="1" ht="15">
      <c r="A43" s="312">
        <v>65</v>
      </c>
      <c r="C43" s="313" t="s">
        <v>1076</v>
      </c>
      <c r="D43" s="308" t="s">
        <v>433</v>
      </c>
      <c r="F43" s="314" t="s">
        <v>41</v>
      </c>
      <c r="J43" s="315"/>
      <c r="K43" s="315"/>
      <c r="L43" s="314" t="s">
        <v>128</v>
      </c>
      <c r="M43" s="316" t="s">
        <v>127</v>
      </c>
      <c r="N43" s="317" t="s">
        <v>1319</v>
      </c>
      <c r="O43" s="317">
        <v>96.35303</v>
      </c>
      <c r="P43" s="317">
        <v>25.6684</v>
      </c>
      <c r="Q43" s="315">
        <v>60</v>
      </c>
      <c r="R43" s="315">
        <v>198</v>
      </c>
      <c r="S43" s="1">
        <f>Table_CampList[[#This Row],[Total]]/Table_CampList[[#This Row],[HH]]</f>
        <v>3.3</v>
      </c>
      <c r="T43" s="313" t="s">
        <v>996</v>
      </c>
      <c r="U43" s="318"/>
      <c r="V43" s="318"/>
      <c r="W43" s="318"/>
      <c r="X43" s="318"/>
      <c r="Y43" s="318"/>
      <c r="Z43" s="318"/>
      <c r="AA43" s="318"/>
      <c r="AB43" s="318"/>
      <c r="AC43" s="318"/>
      <c r="AD43" s="318"/>
      <c r="AE43" s="318"/>
      <c r="AF43" s="318"/>
      <c r="AG43" s="318"/>
    </row>
    <row r="44" spans="1:33" s="308" customFormat="1" ht="15">
      <c r="A44" s="312">
        <v>69</v>
      </c>
      <c r="C44" s="313" t="s">
        <v>1076</v>
      </c>
      <c r="D44" s="308" t="s">
        <v>433</v>
      </c>
      <c r="F44" s="314" t="s">
        <v>41</v>
      </c>
      <c r="J44" s="315"/>
      <c r="K44" s="315"/>
      <c r="L44" s="314" t="s">
        <v>68</v>
      </c>
      <c r="M44" s="316" t="s">
        <v>67</v>
      </c>
      <c r="N44" s="317" t="s">
        <v>1319</v>
      </c>
      <c r="O44" s="317">
        <v>96.28825</v>
      </c>
      <c r="P44" s="317">
        <v>25.57921</v>
      </c>
      <c r="Q44" s="315">
        <v>75</v>
      </c>
      <c r="R44" s="315">
        <v>288</v>
      </c>
      <c r="S44" s="1">
        <f>Table_CampList[[#This Row],[Total]]/Table_CampList[[#This Row],[HH]]</f>
        <v>3.84</v>
      </c>
      <c r="T44" s="313" t="s">
        <v>1320</v>
      </c>
      <c r="U44" s="318"/>
      <c r="V44" s="318"/>
      <c r="W44" s="318"/>
      <c r="X44" s="318"/>
      <c r="Y44" s="318"/>
      <c r="Z44" s="318"/>
      <c r="AA44" s="318"/>
      <c r="AB44" s="318"/>
      <c r="AC44" s="318"/>
      <c r="AD44" s="318"/>
      <c r="AE44" s="318"/>
      <c r="AF44" s="318"/>
      <c r="AG44" s="318"/>
    </row>
    <row r="45" spans="1:33" s="308" customFormat="1" ht="15">
      <c r="A45" s="312">
        <v>70</v>
      </c>
      <c r="C45" s="313" t="s">
        <v>1076</v>
      </c>
      <c r="D45" s="308" t="s">
        <v>433</v>
      </c>
      <c r="F45" s="314" t="s">
        <v>41</v>
      </c>
      <c r="J45" s="315"/>
      <c r="K45" s="315"/>
      <c r="L45" s="314" t="s">
        <v>130</v>
      </c>
      <c r="M45" s="316" t="s">
        <v>129</v>
      </c>
      <c r="N45" s="317" t="s">
        <v>1319</v>
      </c>
      <c r="O45" s="317">
        <v>96.28668</v>
      </c>
      <c r="P45" s="317">
        <v>25.57756</v>
      </c>
      <c r="Q45" s="315">
        <v>134</v>
      </c>
      <c r="R45" s="315">
        <v>503</v>
      </c>
      <c r="S45" s="1">
        <f>Table_CampList[[#This Row],[Total]]/Table_CampList[[#This Row],[HH]]</f>
        <v>3.753731343283582</v>
      </c>
      <c r="T45" s="313" t="s">
        <v>1320</v>
      </c>
      <c r="U45" s="318"/>
      <c r="V45" s="318"/>
      <c r="W45" s="318"/>
      <c r="X45" s="318"/>
      <c r="Y45" s="318"/>
      <c r="Z45" s="318"/>
      <c r="AA45" s="318"/>
      <c r="AB45" s="318"/>
      <c r="AC45" s="318"/>
      <c r="AD45" s="318"/>
      <c r="AE45" s="318"/>
      <c r="AF45" s="318"/>
      <c r="AG45" s="318"/>
    </row>
    <row r="46" spans="1:33" s="308" customFormat="1" ht="15">
      <c r="A46" s="312">
        <v>72</v>
      </c>
      <c r="C46" s="313" t="s">
        <v>1076</v>
      </c>
      <c r="D46" s="308" t="s">
        <v>433</v>
      </c>
      <c r="F46" s="314" t="s">
        <v>41</v>
      </c>
      <c r="J46" s="315"/>
      <c r="K46" s="315"/>
      <c r="L46" s="314" t="s">
        <v>144</v>
      </c>
      <c r="M46" s="316" t="s">
        <v>143</v>
      </c>
      <c r="N46" s="317" t="s">
        <v>1319</v>
      </c>
      <c r="O46" s="317">
        <v>96.306911</v>
      </c>
      <c r="P46" s="317">
        <v>25.59925</v>
      </c>
      <c r="Q46" s="315">
        <v>49</v>
      </c>
      <c r="R46" s="315">
        <v>245</v>
      </c>
      <c r="S46" s="1">
        <f>Table_CampList[[#This Row],[Total]]/Table_CampList[[#This Row],[HH]]</f>
        <v>5</v>
      </c>
      <c r="T46" s="313" t="s">
        <v>996</v>
      </c>
      <c r="U46" s="318"/>
      <c r="V46" s="318"/>
      <c r="W46" s="318"/>
      <c r="X46" s="318"/>
      <c r="Y46" s="318"/>
      <c r="Z46" s="318"/>
      <c r="AA46" s="318"/>
      <c r="AB46" s="318"/>
      <c r="AC46" s="318"/>
      <c r="AD46" s="318"/>
      <c r="AE46" s="318"/>
      <c r="AF46" s="318"/>
      <c r="AG46" s="318"/>
    </row>
    <row r="47" spans="1:33" s="308" customFormat="1" ht="15">
      <c r="A47" s="312">
        <v>73</v>
      </c>
      <c r="C47" s="313" t="s">
        <v>1076</v>
      </c>
      <c r="D47" s="308" t="s">
        <v>433</v>
      </c>
      <c r="F47" s="314" t="s">
        <v>412</v>
      </c>
      <c r="J47" s="315"/>
      <c r="K47" s="315"/>
      <c r="L47" s="314" t="s">
        <v>37</v>
      </c>
      <c r="M47" s="316" t="s">
        <v>411</v>
      </c>
      <c r="N47" s="317" t="s">
        <v>1319</v>
      </c>
      <c r="O47" s="319"/>
      <c r="P47" s="319"/>
      <c r="Q47" s="315" t="s">
        <v>1320</v>
      </c>
      <c r="R47" s="315" t="s">
        <v>1320</v>
      </c>
      <c r="S47" s="1" t="e">
        <f>Table_CampList[[#This Row],[Total]]/Table_CampList[[#This Row],[HH]]</f>
        <v>#VALUE!</v>
      </c>
      <c r="T47" s="313" t="s">
        <v>1320</v>
      </c>
      <c r="U47" s="318"/>
      <c r="V47" s="318"/>
      <c r="W47" s="318"/>
      <c r="X47" s="318"/>
      <c r="Y47" s="318"/>
      <c r="Z47" s="318"/>
      <c r="AA47" s="318"/>
      <c r="AB47" s="318"/>
      <c r="AC47" s="318"/>
      <c r="AD47" s="318"/>
      <c r="AE47" s="318"/>
      <c r="AF47" s="318"/>
      <c r="AG47" s="318"/>
    </row>
    <row r="48" spans="1:33" s="308" customFormat="1" ht="15">
      <c r="A48" s="312">
        <v>74</v>
      </c>
      <c r="C48" s="313" t="s">
        <v>1076</v>
      </c>
      <c r="D48" s="308" t="s">
        <v>433</v>
      </c>
      <c r="F48" s="314" t="s">
        <v>148</v>
      </c>
      <c r="J48" s="315"/>
      <c r="K48" s="315"/>
      <c r="L48" s="314" t="s">
        <v>149</v>
      </c>
      <c r="M48" s="316" t="s">
        <v>147</v>
      </c>
      <c r="N48" s="317" t="s">
        <v>1319</v>
      </c>
      <c r="O48" s="319"/>
      <c r="P48" s="319"/>
      <c r="Q48" s="315">
        <v>22</v>
      </c>
      <c r="R48" s="315">
        <v>107</v>
      </c>
      <c r="S48" s="1">
        <f>Table_CampList[[#This Row],[Total]]/Table_CampList[[#This Row],[HH]]</f>
        <v>4.863636363636363</v>
      </c>
      <c r="T48" s="313" t="s">
        <v>1320</v>
      </c>
      <c r="U48" s="318"/>
      <c r="V48" s="318"/>
      <c r="W48" s="318"/>
      <c r="X48" s="318"/>
      <c r="Y48" s="318"/>
      <c r="Z48" s="318"/>
      <c r="AA48" s="318"/>
      <c r="AB48" s="318"/>
      <c r="AC48" s="318"/>
      <c r="AD48" s="318"/>
      <c r="AE48" s="318"/>
      <c r="AF48" s="318"/>
      <c r="AG48" s="318"/>
    </row>
    <row r="49" spans="1:33" s="308" customFormat="1" ht="15">
      <c r="A49" s="312">
        <v>75</v>
      </c>
      <c r="C49" s="313" t="s">
        <v>1076</v>
      </c>
      <c r="D49" s="308" t="s">
        <v>433</v>
      </c>
      <c r="F49" s="314" t="s">
        <v>150</v>
      </c>
      <c r="J49" s="315"/>
      <c r="K49" s="315"/>
      <c r="L49" s="314" t="s">
        <v>424</v>
      </c>
      <c r="M49" s="316" t="s">
        <v>435</v>
      </c>
      <c r="N49" s="317" t="s">
        <v>1319</v>
      </c>
      <c r="O49" s="319"/>
      <c r="P49" s="319"/>
      <c r="Q49" s="315" t="s">
        <v>1320</v>
      </c>
      <c r="R49" s="315" t="s">
        <v>1320</v>
      </c>
      <c r="S49" s="1" t="e">
        <f>Table_CampList[[#This Row],[Total]]/Table_CampList[[#This Row],[HH]]</f>
        <v>#VALUE!</v>
      </c>
      <c r="T49" s="313" t="s">
        <v>1320</v>
      </c>
      <c r="U49" s="318"/>
      <c r="V49" s="318"/>
      <c r="W49" s="318"/>
      <c r="X49" s="318"/>
      <c r="Y49" s="318"/>
      <c r="Z49" s="318"/>
      <c r="AA49" s="318"/>
      <c r="AB49" s="318"/>
      <c r="AC49" s="318"/>
      <c r="AD49" s="318"/>
      <c r="AE49" s="318"/>
      <c r="AF49" s="318"/>
      <c r="AG49" s="318"/>
    </row>
    <row r="50" spans="1:33" s="308" customFormat="1" ht="15">
      <c r="A50" s="312">
        <v>76</v>
      </c>
      <c r="C50" s="313" t="s">
        <v>1076</v>
      </c>
      <c r="D50" s="308" t="s">
        <v>433</v>
      </c>
      <c r="F50" s="314" t="s">
        <v>150</v>
      </c>
      <c r="J50" s="315"/>
      <c r="K50" s="315"/>
      <c r="L50" s="314" t="s">
        <v>420</v>
      </c>
      <c r="M50" s="316" t="s">
        <v>436</v>
      </c>
      <c r="N50" s="317" t="s">
        <v>1319</v>
      </c>
      <c r="O50" s="317">
        <v>97.554308</v>
      </c>
      <c r="P50" s="317">
        <v>23.271719</v>
      </c>
      <c r="Q50" s="315" t="s">
        <v>1320</v>
      </c>
      <c r="R50" s="315" t="s">
        <v>1320</v>
      </c>
      <c r="S50" s="1" t="e">
        <f>Table_CampList[[#This Row],[Total]]/Table_CampList[[#This Row],[HH]]</f>
        <v>#VALUE!</v>
      </c>
      <c r="T50" s="313" t="s">
        <v>996</v>
      </c>
      <c r="U50" s="318"/>
      <c r="V50" s="318"/>
      <c r="W50" s="318"/>
      <c r="X50" s="318"/>
      <c r="Y50" s="318"/>
      <c r="Z50" s="318"/>
      <c r="AA50" s="318"/>
      <c r="AB50" s="318"/>
      <c r="AC50" s="318"/>
      <c r="AD50" s="318"/>
      <c r="AE50" s="318"/>
      <c r="AF50" s="318"/>
      <c r="AG50" s="318"/>
    </row>
    <row r="51" spans="1:33" s="308" customFormat="1" ht="15">
      <c r="A51" s="312">
        <v>77</v>
      </c>
      <c r="C51" s="313" t="s">
        <v>1076</v>
      </c>
      <c r="D51" s="308" t="s">
        <v>433</v>
      </c>
      <c r="F51" s="314" t="s">
        <v>150</v>
      </c>
      <c r="J51" s="315"/>
      <c r="K51" s="315"/>
      <c r="L51" s="314" t="s">
        <v>421</v>
      </c>
      <c r="M51" s="316" t="s">
        <v>437</v>
      </c>
      <c r="N51" s="317" t="s">
        <v>1319</v>
      </c>
      <c r="O51" s="317">
        <v>97.565616</v>
      </c>
      <c r="P51" s="317">
        <v>23.273361</v>
      </c>
      <c r="Q51" s="315" t="s">
        <v>1320</v>
      </c>
      <c r="R51" s="315" t="s">
        <v>1320</v>
      </c>
      <c r="S51" s="1" t="e">
        <f>Table_CampList[[#This Row],[Total]]/Table_CampList[[#This Row],[HH]]</f>
        <v>#VALUE!</v>
      </c>
      <c r="T51" s="313" t="s">
        <v>1320</v>
      </c>
      <c r="U51" s="318"/>
      <c r="V51" s="318"/>
      <c r="W51" s="318"/>
      <c r="X51" s="318"/>
      <c r="Y51" s="318"/>
      <c r="Z51" s="318"/>
      <c r="AA51" s="318"/>
      <c r="AB51" s="318"/>
      <c r="AC51" s="318"/>
      <c r="AD51" s="318"/>
      <c r="AE51" s="318"/>
      <c r="AF51" s="318"/>
      <c r="AG51" s="318"/>
    </row>
    <row r="52" spans="1:33" s="308" customFormat="1" ht="15">
      <c r="A52" s="312">
        <v>78</v>
      </c>
      <c r="C52" s="313" t="s">
        <v>1076</v>
      </c>
      <c r="D52" s="308" t="s">
        <v>433</v>
      </c>
      <c r="F52" s="314" t="s">
        <v>150</v>
      </c>
      <c r="J52" s="315"/>
      <c r="K52" s="315"/>
      <c r="L52" s="314" t="s">
        <v>419</v>
      </c>
      <c r="M52" s="316" t="s">
        <v>438</v>
      </c>
      <c r="N52" s="317" t="s">
        <v>1319</v>
      </c>
      <c r="O52" s="317">
        <v>97.474306</v>
      </c>
      <c r="P52" s="317">
        <v>23.352518</v>
      </c>
      <c r="Q52" s="315" t="s">
        <v>1320</v>
      </c>
      <c r="R52" s="315" t="s">
        <v>1320</v>
      </c>
      <c r="S52" s="1" t="e">
        <f>Table_CampList[[#This Row],[Total]]/Table_CampList[[#This Row],[HH]]</f>
        <v>#VALUE!</v>
      </c>
      <c r="T52" s="313" t="s">
        <v>1320</v>
      </c>
      <c r="U52" s="318"/>
      <c r="V52" s="318"/>
      <c r="W52" s="318"/>
      <c r="X52" s="318"/>
      <c r="Y52" s="318"/>
      <c r="Z52" s="318"/>
      <c r="AA52" s="318"/>
      <c r="AB52" s="318"/>
      <c r="AC52" s="318"/>
      <c r="AD52" s="318"/>
      <c r="AE52" s="318"/>
      <c r="AF52" s="318"/>
      <c r="AG52" s="318"/>
    </row>
    <row r="53" spans="1:33" s="308" customFormat="1" ht="15">
      <c r="A53" s="312">
        <v>79</v>
      </c>
      <c r="C53" s="313" t="s">
        <v>1076</v>
      </c>
      <c r="D53" s="308" t="s">
        <v>433</v>
      </c>
      <c r="F53" s="314" t="s">
        <v>150</v>
      </c>
      <c r="J53" s="315"/>
      <c r="K53" s="315"/>
      <c r="L53" s="314" t="s">
        <v>422</v>
      </c>
      <c r="M53" s="316" t="s">
        <v>151</v>
      </c>
      <c r="N53" s="317" t="s">
        <v>1323</v>
      </c>
      <c r="O53" s="317">
        <v>98.220615</v>
      </c>
      <c r="P53" s="317">
        <v>23.400156</v>
      </c>
      <c r="Q53" s="315">
        <v>67</v>
      </c>
      <c r="R53" s="315">
        <v>296</v>
      </c>
      <c r="S53" s="1">
        <f>Table_CampList[[#This Row],[Total]]/Table_CampList[[#This Row],[HH]]</f>
        <v>4.417910447761194</v>
      </c>
      <c r="T53" s="313" t="s">
        <v>996</v>
      </c>
      <c r="U53" s="318"/>
      <c r="V53" s="318"/>
      <c r="W53" s="318"/>
      <c r="X53" s="318"/>
      <c r="Y53" s="318"/>
      <c r="Z53" s="318"/>
      <c r="AA53" s="318"/>
      <c r="AB53" s="318"/>
      <c r="AC53" s="318"/>
      <c r="AD53" s="318"/>
      <c r="AE53" s="318"/>
      <c r="AF53" s="318"/>
      <c r="AG53" s="318"/>
    </row>
    <row r="54" spans="1:33" s="308" customFormat="1" ht="15">
      <c r="A54" s="312">
        <v>80</v>
      </c>
      <c r="C54" s="313" t="s">
        <v>1076</v>
      </c>
      <c r="D54" s="308" t="s">
        <v>433</v>
      </c>
      <c r="F54" s="314" t="s">
        <v>150</v>
      </c>
      <c r="J54" s="315"/>
      <c r="K54" s="315"/>
      <c r="L54" s="314" t="s">
        <v>418</v>
      </c>
      <c r="M54" s="316" t="s">
        <v>439</v>
      </c>
      <c r="N54" s="317" t="s">
        <v>1319</v>
      </c>
      <c r="O54" s="317">
        <v>98.213958</v>
      </c>
      <c r="P54" s="317">
        <v>23.391741</v>
      </c>
      <c r="Q54" s="315" t="s">
        <v>1320</v>
      </c>
      <c r="R54" s="315" t="s">
        <v>1320</v>
      </c>
      <c r="S54" s="1" t="e">
        <f>Table_CampList[[#This Row],[Total]]/Table_CampList[[#This Row],[HH]]</f>
        <v>#VALUE!</v>
      </c>
      <c r="T54" s="313" t="s">
        <v>1320</v>
      </c>
      <c r="U54" s="318"/>
      <c r="V54" s="318"/>
      <c r="W54" s="318"/>
      <c r="X54" s="318"/>
      <c r="Y54" s="318"/>
      <c r="Z54" s="318"/>
      <c r="AA54" s="318"/>
      <c r="AB54" s="318"/>
      <c r="AC54" s="318"/>
      <c r="AD54" s="318"/>
      <c r="AE54" s="318"/>
      <c r="AF54" s="318"/>
      <c r="AG54" s="318"/>
    </row>
    <row r="55" spans="1:33" s="308" customFormat="1" ht="15">
      <c r="A55" s="312">
        <v>81</v>
      </c>
      <c r="C55" s="313" t="s">
        <v>1076</v>
      </c>
      <c r="D55" s="308" t="s">
        <v>433</v>
      </c>
      <c r="F55" s="314" t="s">
        <v>150</v>
      </c>
      <c r="J55" s="315"/>
      <c r="K55" s="315"/>
      <c r="L55" s="314" t="s">
        <v>153</v>
      </c>
      <c r="M55" s="316" t="s">
        <v>152</v>
      </c>
      <c r="N55" s="317" t="s">
        <v>1323</v>
      </c>
      <c r="O55" s="317">
        <v>97.49075</v>
      </c>
      <c r="P55" s="317">
        <v>23.413949</v>
      </c>
      <c r="Q55" s="315">
        <v>81</v>
      </c>
      <c r="R55" s="315">
        <v>275</v>
      </c>
      <c r="S55" s="1">
        <f>Table_CampList[[#This Row],[Total]]/Table_CampList[[#This Row],[HH]]</f>
        <v>3.3950617283950617</v>
      </c>
      <c r="T55" s="313" t="s">
        <v>996</v>
      </c>
      <c r="U55" s="318"/>
      <c r="V55" s="318"/>
      <c r="W55" s="318"/>
      <c r="X55" s="318"/>
      <c r="Y55" s="318"/>
      <c r="Z55" s="318"/>
      <c r="AA55" s="318"/>
      <c r="AB55" s="318"/>
      <c r="AC55" s="318"/>
      <c r="AD55" s="318"/>
      <c r="AE55" s="318"/>
      <c r="AF55" s="318"/>
      <c r="AG55" s="318"/>
    </row>
    <row r="56" spans="1:33" s="308" customFormat="1" ht="15">
      <c r="A56" s="312">
        <v>82</v>
      </c>
      <c r="C56" s="313" t="s">
        <v>1076</v>
      </c>
      <c r="D56" s="308" t="s">
        <v>433</v>
      </c>
      <c r="F56" s="314" t="s">
        <v>150</v>
      </c>
      <c r="J56" s="315"/>
      <c r="K56" s="315"/>
      <c r="L56" s="314" t="s">
        <v>425</v>
      </c>
      <c r="M56" s="316" t="s">
        <v>440</v>
      </c>
      <c r="N56" s="317" t="s">
        <v>1319</v>
      </c>
      <c r="O56" s="319"/>
      <c r="P56" s="319"/>
      <c r="Q56" s="315" t="s">
        <v>1320</v>
      </c>
      <c r="R56" s="315" t="s">
        <v>1320</v>
      </c>
      <c r="S56" s="1" t="e">
        <f>Table_CampList[[#This Row],[Total]]/Table_CampList[[#This Row],[HH]]</f>
        <v>#VALUE!</v>
      </c>
      <c r="T56" s="313" t="s">
        <v>1320</v>
      </c>
      <c r="U56" s="318"/>
      <c r="V56" s="318"/>
      <c r="W56" s="318"/>
      <c r="X56" s="318"/>
      <c r="Y56" s="318"/>
      <c r="Z56" s="318"/>
      <c r="AA56" s="318"/>
      <c r="AB56" s="318"/>
      <c r="AC56" s="318"/>
      <c r="AD56" s="318"/>
      <c r="AE56" s="318"/>
      <c r="AF56" s="318"/>
      <c r="AG56" s="318"/>
    </row>
    <row r="57" spans="1:33" s="308" customFormat="1" ht="15">
      <c r="A57" s="312">
        <v>83</v>
      </c>
      <c r="C57" s="313" t="s">
        <v>1076</v>
      </c>
      <c r="D57" s="308" t="s">
        <v>433</v>
      </c>
      <c r="F57" s="314" t="s">
        <v>155</v>
      </c>
      <c r="J57" s="315"/>
      <c r="K57" s="315"/>
      <c r="L57" s="314" t="s">
        <v>14</v>
      </c>
      <c r="M57" s="316" t="s">
        <v>445</v>
      </c>
      <c r="N57" s="317" t="s">
        <v>1319</v>
      </c>
      <c r="O57" s="319"/>
      <c r="P57" s="319"/>
      <c r="Q57" s="315">
        <v>278</v>
      </c>
      <c r="R57" s="315">
        <v>1011</v>
      </c>
      <c r="S57" s="1">
        <f>Table_CampList[[#This Row],[Total]]/Table_CampList[[#This Row],[HH]]</f>
        <v>3.6366906474820144</v>
      </c>
      <c r="T57" s="313" t="s">
        <v>1320</v>
      </c>
      <c r="U57" s="318"/>
      <c r="V57" s="318"/>
      <c r="W57" s="318"/>
      <c r="X57" s="318"/>
      <c r="Y57" s="318"/>
      <c r="Z57" s="318"/>
      <c r="AA57" s="318"/>
      <c r="AB57" s="318"/>
      <c r="AC57" s="318"/>
      <c r="AD57" s="318"/>
      <c r="AE57" s="318"/>
      <c r="AF57" s="318"/>
      <c r="AG57" s="318"/>
    </row>
    <row r="58" spans="1:33" s="308" customFormat="1" ht="15">
      <c r="A58" s="312">
        <v>84</v>
      </c>
      <c r="C58" s="313" t="s">
        <v>1076</v>
      </c>
      <c r="D58" s="308" t="s">
        <v>433</v>
      </c>
      <c r="F58" s="314" t="s">
        <v>155</v>
      </c>
      <c r="J58" s="315"/>
      <c r="K58" s="315"/>
      <c r="L58" s="314" t="s">
        <v>162</v>
      </c>
      <c r="M58" s="316" t="s">
        <v>161</v>
      </c>
      <c r="N58" s="317" t="s">
        <v>1323</v>
      </c>
      <c r="O58" s="317">
        <v>97.585667</v>
      </c>
      <c r="P58" s="317">
        <v>23.9055</v>
      </c>
      <c r="Q58" s="315">
        <v>89</v>
      </c>
      <c r="R58" s="315">
        <v>346</v>
      </c>
      <c r="S58" s="1">
        <f>Table_CampList[[#This Row],[Total]]/Table_CampList[[#This Row],[HH]]</f>
        <v>3.8876404494382024</v>
      </c>
      <c r="T58" s="313" t="s">
        <v>1322</v>
      </c>
      <c r="U58" s="318"/>
      <c r="V58" s="318"/>
      <c r="W58" s="318"/>
      <c r="X58" s="318"/>
      <c r="Y58" s="318"/>
      <c r="Z58" s="318"/>
      <c r="AA58" s="318"/>
      <c r="AB58" s="318"/>
      <c r="AC58" s="318"/>
      <c r="AD58" s="318"/>
      <c r="AE58" s="318"/>
      <c r="AF58" s="318"/>
      <c r="AG58" s="318"/>
    </row>
    <row r="59" spans="1:33" s="308" customFormat="1" ht="15">
      <c r="A59" s="312">
        <v>85</v>
      </c>
      <c r="C59" s="313" t="s">
        <v>1076</v>
      </c>
      <c r="D59" s="308" t="s">
        <v>433</v>
      </c>
      <c r="F59" s="314" t="s">
        <v>155</v>
      </c>
      <c r="J59" s="315"/>
      <c r="K59" s="315"/>
      <c r="L59" s="314" t="s">
        <v>164</v>
      </c>
      <c r="M59" s="316" t="s">
        <v>163</v>
      </c>
      <c r="N59" s="317" t="s">
        <v>1323</v>
      </c>
      <c r="O59" s="319"/>
      <c r="P59" s="319"/>
      <c r="Q59" s="315">
        <v>114</v>
      </c>
      <c r="R59" s="315">
        <v>549</v>
      </c>
      <c r="S59" s="1">
        <f>Table_CampList[[#This Row],[Total]]/Table_CampList[[#This Row],[HH]]</f>
        <v>4.815789473684211</v>
      </c>
      <c r="T59" s="313" t="s">
        <v>996</v>
      </c>
      <c r="U59" s="318"/>
      <c r="V59" s="318"/>
      <c r="W59" s="318"/>
      <c r="X59" s="318"/>
      <c r="Y59" s="318"/>
      <c r="Z59" s="318"/>
      <c r="AA59" s="318"/>
      <c r="AB59" s="318"/>
      <c r="AC59" s="318"/>
      <c r="AD59" s="318"/>
      <c r="AE59" s="318"/>
      <c r="AF59" s="318"/>
      <c r="AG59" s="318"/>
    </row>
    <row r="60" spans="1:33" s="308" customFormat="1" ht="15">
      <c r="A60" s="312">
        <v>86</v>
      </c>
      <c r="C60" s="313" t="s">
        <v>1076</v>
      </c>
      <c r="D60" s="308" t="s">
        <v>433</v>
      </c>
      <c r="F60" s="314" t="s">
        <v>155</v>
      </c>
      <c r="J60" s="315"/>
      <c r="K60" s="315"/>
      <c r="L60" s="314" t="s">
        <v>158</v>
      </c>
      <c r="M60" s="316" t="s">
        <v>157</v>
      </c>
      <c r="N60" s="317" t="s">
        <v>1323</v>
      </c>
      <c r="O60" s="317">
        <v>97.33463</v>
      </c>
      <c r="P60" s="317">
        <v>23.51491</v>
      </c>
      <c r="Q60" s="315">
        <v>308</v>
      </c>
      <c r="R60" s="315">
        <v>1515</v>
      </c>
      <c r="S60" s="1">
        <f>Table_CampList[[#This Row],[Total]]/Table_CampList[[#This Row],[HH]]</f>
        <v>4.9188311688311686</v>
      </c>
      <c r="T60" s="313" t="s">
        <v>995</v>
      </c>
      <c r="U60" s="318"/>
      <c r="V60" s="318"/>
      <c r="W60" s="318"/>
      <c r="X60" s="318"/>
      <c r="Y60" s="318"/>
      <c r="Z60" s="318"/>
      <c r="AA60" s="318"/>
      <c r="AB60" s="318"/>
      <c r="AC60" s="318"/>
      <c r="AD60" s="318"/>
      <c r="AE60" s="318"/>
      <c r="AF60" s="318"/>
      <c r="AG60" s="318"/>
    </row>
    <row r="61" spans="1:33" s="308" customFormat="1" ht="15">
      <c r="A61" s="312">
        <v>87</v>
      </c>
      <c r="C61" s="313" t="s">
        <v>1076</v>
      </c>
      <c r="D61" s="308" t="s">
        <v>433</v>
      </c>
      <c r="F61" s="314" t="s">
        <v>155</v>
      </c>
      <c r="J61" s="315"/>
      <c r="K61" s="315"/>
      <c r="L61" s="314" t="s">
        <v>160</v>
      </c>
      <c r="M61" s="316" t="s">
        <v>159</v>
      </c>
      <c r="N61" s="317" t="s">
        <v>1323</v>
      </c>
      <c r="O61" s="319"/>
      <c r="P61" s="319"/>
      <c r="Q61" s="315">
        <v>262</v>
      </c>
      <c r="R61" s="315">
        <v>1300</v>
      </c>
      <c r="S61" s="1">
        <f>Table_CampList[[#This Row],[Total]]/Table_CampList[[#This Row],[HH]]</f>
        <v>4.961832061068702</v>
      </c>
      <c r="T61" s="313" t="s">
        <v>1320</v>
      </c>
      <c r="U61" s="318"/>
      <c r="V61" s="318"/>
      <c r="W61" s="318"/>
      <c r="X61" s="318"/>
      <c r="Y61" s="318"/>
      <c r="Z61" s="318"/>
      <c r="AA61" s="318"/>
      <c r="AB61" s="318"/>
      <c r="AC61" s="318"/>
      <c r="AD61" s="318"/>
      <c r="AE61" s="318"/>
      <c r="AF61" s="318"/>
      <c r="AG61" s="318"/>
    </row>
    <row r="62" spans="1:33" s="308" customFormat="1" ht="15">
      <c r="A62" s="312">
        <v>88</v>
      </c>
      <c r="C62" s="313" t="s">
        <v>1076</v>
      </c>
      <c r="D62" s="308" t="s">
        <v>433</v>
      </c>
      <c r="F62" s="314" t="s">
        <v>155</v>
      </c>
      <c r="J62" s="315"/>
      <c r="K62" s="315"/>
      <c r="L62" s="314" t="s">
        <v>156</v>
      </c>
      <c r="M62" s="316" t="s">
        <v>154</v>
      </c>
      <c r="N62" s="317" t="s">
        <v>1319</v>
      </c>
      <c r="O62" s="317">
        <v>97.29182</v>
      </c>
      <c r="P62" s="317">
        <v>24.12906</v>
      </c>
      <c r="Q62" s="315">
        <v>84</v>
      </c>
      <c r="R62" s="315">
        <v>348</v>
      </c>
      <c r="S62" s="1">
        <f>Table_CampList[[#This Row],[Total]]/Table_CampList[[#This Row],[HH]]</f>
        <v>4.142857142857143</v>
      </c>
      <c r="T62" s="313" t="s">
        <v>960</v>
      </c>
      <c r="U62" s="318"/>
      <c r="V62" s="318"/>
      <c r="W62" s="318"/>
      <c r="X62" s="318"/>
      <c r="Y62" s="318"/>
      <c r="Z62" s="318"/>
      <c r="AA62" s="318"/>
      <c r="AB62" s="318"/>
      <c r="AC62" s="318"/>
      <c r="AD62" s="318"/>
      <c r="AE62" s="318"/>
      <c r="AF62" s="318"/>
      <c r="AG62" s="318"/>
    </row>
    <row r="63" spans="1:33" s="308" customFormat="1" ht="15">
      <c r="A63" s="312">
        <v>89</v>
      </c>
      <c r="C63" s="313" t="s">
        <v>1076</v>
      </c>
      <c r="D63" s="308" t="s">
        <v>433</v>
      </c>
      <c r="F63" s="314" t="s">
        <v>155</v>
      </c>
      <c r="J63" s="315"/>
      <c r="K63" s="315"/>
      <c r="L63" s="314" t="s">
        <v>166</v>
      </c>
      <c r="M63" s="316" t="s">
        <v>165</v>
      </c>
      <c r="N63" s="317" t="s">
        <v>1323</v>
      </c>
      <c r="O63" s="319"/>
      <c r="P63" s="319"/>
      <c r="Q63" s="315">
        <v>73</v>
      </c>
      <c r="R63" s="315">
        <v>637</v>
      </c>
      <c r="S63" s="1">
        <f>Table_CampList[[#This Row],[Total]]/Table_CampList[[#This Row],[HH]]</f>
        <v>8.726027397260275</v>
      </c>
      <c r="T63" s="313" t="s">
        <v>1320</v>
      </c>
      <c r="U63" s="318"/>
      <c r="V63" s="318"/>
      <c r="W63" s="318"/>
      <c r="X63" s="318"/>
      <c r="Y63" s="318"/>
      <c r="Z63" s="318"/>
      <c r="AA63" s="318"/>
      <c r="AB63" s="318"/>
      <c r="AC63" s="318"/>
      <c r="AD63" s="318"/>
      <c r="AE63" s="318"/>
      <c r="AF63" s="318"/>
      <c r="AG63" s="318"/>
    </row>
    <row r="64" spans="1:33" s="308" customFormat="1" ht="15">
      <c r="A64" s="312">
        <v>90</v>
      </c>
      <c r="C64" s="313" t="s">
        <v>1076</v>
      </c>
      <c r="D64" s="308" t="s">
        <v>433</v>
      </c>
      <c r="F64" s="314" t="s">
        <v>155</v>
      </c>
      <c r="J64" s="315"/>
      <c r="K64" s="315"/>
      <c r="L64" s="314" t="s">
        <v>168</v>
      </c>
      <c r="M64" s="316" t="s">
        <v>167</v>
      </c>
      <c r="N64" s="317" t="s">
        <v>1323</v>
      </c>
      <c r="O64" s="319"/>
      <c r="P64" s="319"/>
      <c r="Q64" s="315">
        <v>193</v>
      </c>
      <c r="R64" s="315">
        <v>911</v>
      </c>
      <c r="S64" s="1">
        <f>Table_CampList[[#This Row],[Total]]/Table_CampList[[#This Row],[HH]]</f>
        <v>4.72020725388601</v>
      </c>
      <c r="T64" s="313" t="s">
        <v>995</v>
      </c>
      <c r="U64" s="318"/>
      <c r="V64" s="318"/>
      <c r="W64" s="318"/>
      <c r="X64" s="318"/>
      <c r="Y64" s="318"/>
      <c r="Z64" s="318"/>
      <c r="AA64" s="318"/>
      <c r="AB64" s="318"/>
      <c r="AC64" s="318"/>
      <c r="AD64" s="318"/>
      <c r="AE64" s="318"/>
      <c r="AF64" s="318"/>
      <c r="AG64" s="318"/>
    </row>
    <row r="65" spans="1:33" s="308" customFormat="1" ht="15">
      <c r="A65" s="312">
        <v>94</v>
      </c>
      <c r="C65" s="313" t="s">
        <v>1076</v>
      </c>
      <c r="D65" s="308" t="s">
        <v>433</v>
      </c>
      <c r="F65" s="314" t="s">
        <v>170</v>
      </c>
      <c r="J65" s="315"/>
      <c r="K65" s="315"/>
      <c r="L65" s="314" t="s">
        <v>171</v>
      </c>
      <c r="M65" s="316" t="s">
        <v>169</v>
      </c>
      <c r="N65" s="317" t="s">
        <v>1323</v>
      </c>
      <c r="O65" s="319"/>
      <c r="P65" s="319"/>
      <c r="Q65" s="315">
        <v>53</v>
      </c>
      <c r="R65" s="315">
        <v>260</v>
      </c>
      <c r="S65" s="1">
        <f>Table_CampList[[#This Row],[Total]]/Table_CampList[[#This Row],[HH]]</f>
        <v>4.90566037735849</v>
      </c>
      <c r="T65" s="313" t="s">
        <v>996</v>
      </c>
      <c r="U65" s="318"/>
      <c r="V65" s="318"/>
      <c r="W65" s="318"/>
      <c r="X65" s="318"/>
      <c r="Y65" s="318"/>
      <c r="Z65" s="318"/>
      <c r="AA65" s="318"/>
      <c r="AB65" s="318"/>
      <c r="AC65" s="318"/>
      <c r="AD65" s="318"/>
      <c r="AE65" s="318"/>
      <c r="AF65" s="318"/>
      <c r="AG65" s="318"/>
    </row>
    <row r="66" spans="1:33" s="308" customFormat="1" ht="15">
      <c r="A66" s="312">
        <v>95</v>
      </c>
      <c r="C66" s="313" t="s">
        <v>1076</v>
      </c>
      <c r="D66" s="308" t="s">
        <v>433</v>
      </c>
      <c r="F66" s="314" t="s">
        <v>170</v>
      </c>
      <c r="J66" s="315"/>
      <c r="K66" s="315"/>
      <c r="L66" s="314" t="s">
        <v>173</v>
      </c>
      <c r="M66" s="316" t="s">
        <v>172</v>
      </c>
      <c r="N66" s="317" t="s">
        <v>1319</v>
      </c>
      <c r="O66" s="319"/>
      <c r="P66" s="319"/>
      <c r="Q66" s="315" t="s">
        <v>1320</v>
      </c>
      <c r="R66" s="315" t="s">
        <v>1320</v>
      </c>
      <c r="S66" s="1" t="e">
        <f>Table_CampList[[#This Row],[Total]]/Table_CampList[[#This Row],[HH]]</f>
        <v>#VALUE!</v>
      </c>
      <c r="T66" s="313" t="s">
        <v>1320</v>
      </c>
      <c r="U66" s="318"/>
      <c r="V66" s="318"/>
      <c r="W66" s="318"/>
      <c r="X66" s="318"/>
      <c r="Y66" s="318"/>
      <c r="Z66" s="318"/>
      <c r="AA66" s="318"/>
      <c r="AB66" s="318"/>
      <c r="AC66" s="318"/>
      <c r="AD66" s="318"/>
      <c r="AE66" s="318"/>
      <c r="AF66" s="318"/>
      <c r="AG66" s="318"/>
    </row>
    <row r="67" spans="1:33" s="308" customFormat="1" ht="15">
      <c r="A67" s="312">
        <v>96</v>
      </c>
      <c r="C67" s="313" t="s">
        <v>1076</v>
      </c>
      <c r="D67" s="308" t="s">
        <v>433</v>
      </c>
      <c r="F67" s="314" t="s">
        <v>170</v>
      </c>
      <c r="J67" s="315"/>
      <c r="K67" s="315"/>
      <c r="L67" s="314" t="s">
        <v>175</v>
      </c>
      <c r="M67" s="316" t="s">
        <v>174</v>
      </c>
      <c r="N67" s="317" t="s">
        <v>1319</v>
      </c>
      <c r="O67" s="319"/>
      <c r="P67" s="319"/>
      <c r="Q67" s="315" t="s">
        <v>1320</v>
      </c>
      <c r="R67" s="315" t="s">
        <v>1320</v>
      </c>
      <c r="S67" s="1" t="e">
        <f>Table_CampList[[#This Row],[Total]]/Table_CampList[[#This Row],[HH]]</f>
        <v>#VALUE!</v>
      </c>
      <c r="T67" s="313" t="s">
        <v>995</v>
      </c>
      <c r="U67" s="318"/>
      <c r="V67" s="318"/>
      <c r="W67" s="318"/>
      <c r="X67" s="318"/>
      <c r="Y67" s="318"/>
      <c r="Z67" s="318"/>
      <c r="AA67" s="318"/>
      <c r="AB67" s="318"/>
      <c r="AC67" s="318"/>
      <c r="AD67" s="318"/>
      <c r="AE67" s="318"/>
      <c r="AF67" s="318"/>
      <c r="AG67" s="318"/>
    </row>
    <row r="68" spans="1:33" s="308" customFormat="1" ht="15">
      <c r="A68" s="312">
        <v>97</v>
      </c>
      <c r="C68" s="313" t="s">
        <v>1076</v>
      </c>
      <c r="D68" s="308" t="s">
        <v>433</v>
      </c>
      <c r="F68" s="314" t="s">
        <v>177</v>
      </c>
      <c r="J68" s="315"/>
      <c r="K68" s="315"/>
      <c r="L68" s="314" t="s">
        <v>178</v>
      </c>
      <c r="M68" s="316" t="s">
        <v>176</v>
      </c>
      <c r="N68" s="317" t="s">
        <v>1319</v>
      </c>
      <c r="O68" s="317">
        <v>96.92262</v>
      </c>
      <c r="P68" s="317">
        <v>25.30567</v>
      </c>
      <c r="Q68" s="315">
        <v>15</v>
      </c>
      <c r="R68" s="315">
        <v>69</v>
      </c>
      <c r="S68" s="1">
        <f>Table_CampList[[#This Row],[Total]]/Table_CampList[[#This Row],[HH]]</f>
        <v>4.6</v>
      </c>
      <c r="T68" s="313" t="s">
        <v>996</v>
      </c>
      <c r="U68" s="318"/>
      <c r="V68" s="318"/>
      <c r="W68" s="318"/>
      <c r="X68" s="318"/>
      <c r="Y68" s="318"/>
      <c r="Z68" s="318"/>
      <c r="AA68" s="318"/>
      <c r="AB68" s="318"/>
      <c r="AC68" s="318"/>
      <c r="AD68" s="318"/>
      <c r="AE68" s="318"/>
      <c r="AF68" s="318"/>
      <c r="AG68" s="318"/>
    </row>
    <row r="69" spans="1:33" s="308" customFormat="1" ht="15">
      <c r="A69" s="312">
        <v>98</v>
      </c>
      <c r="C69" s="313" t="s">
        <v>1076</v>
      </c>
      <c r="D69" s="308" t="s">
        <v>433</v>
      </c>
      <c r="F69" s="314" t="s">
        <v>177</v>
      </c>
      <c r="J69" s="315"/>
      <c r="K69" s="315"/>
      <c r="L69" s="314" t="s">
        <v>180</v>
      </c>
      <c r="M69" s="316" t="s">
        <v>179</v>
      </c>
      <c r="N69" s="317" t="s">
        <v>1319</v>
      </c>
      <c r="O69" s="317">
        <v>96.94228</v>
      </c>
      <c r="P69" s="317">
        <v>25.29658</v>
      </c>
      <c r="Q69" s="315">
        <v>16</v>
      </c>
      <c r="R69" s="315">
        <v>69</v>
      </c>
      <c r="S69" s="1">
        <f>Table_CampList[[#This Row],[Total]]/Table_CampList[[#This Row],[HH]]</f>
        <v>4.3125</v>
      </c>
      <c r="T69" s="313" t="s">
        <v>996</v>
      </c>
      <c r="U69" s="318"/>
      <c r="V69" s="318"/>
      <c r="W69" s="318"/>
      <c r="X69" s="318"/>
      <c r="Y69" s="318"/>
      <c r="Z69" s="318"/>
      <c r="AA69" s="318"/>
      <c r="AB69" s="318"/>
      <c r="AC69" s="318"/>
      <c r="AD69" s="318"/>
      <c r="AE69" s="318"/>
      <c r="AF69" s="318"/>
      <c r="AG69" s="318"/>
    </row>
    <row r="70" spans="1:33" s="308" customFormat="1" ht="15">
      <c r="A70" s="312">
        <v>99</v>
      </c>
      <c r="C70" s="313" t="s">
        <v>1076</v>
      </c>
      <c r="D70" s="308" t="s">
        <v>433</v>
      </c>
      <c r="F70" s="314" t="s">
        <v>177</v>
      </c>
      <c r="J70" s="315"/>
      <c r="K70" s="315"/>
      <c r="L70" s="314" t="s">
        <v>182</v>
      </c>
      <c r="M70" s="316" t="s">
        <v>181</v>
      </c>
      <c r="N70" s="317" t="s">
        <v>1319</v>
      </c>
      <c r="O70" s="317">
        <v>96.94874</v>
      </c>
      <c r="P70" s="317">
        <v>25.30442</v>
      </c>
      <c r="Q70" s="315">
        <v>14</v>
      </c>
      <c r="R70" s="315">
        <v>50</v>
      </c>
      <c r="S70" s="1">
        <f>Table_CampList[[#This Row],[Total]]/Table_CampList[[#This Row],[HH]]</f>
        <v>3.5714285714285716</v>
      </c>
      <c r="T70" s="313" t="s">
        <v>996</v>
      </c>
      <c r="U70" s="318"/>
      <c r="V70" s="318"/>
      <c r="W70" s="318"/>
      <c r="X70" s="318"/>
      <c r="Y70" s="318"/>
      <c r="Z70" s="318"/>
      <c r="AA70" s="318"/>
      <c r="AB70" s="318"/>
      <c r="AC70" s="318"/>
      <c r="AD70" s="318"/>
      <c r="AE70" s="318"/>
      <c r="AF70" s="318"/>
      <c r="AG70" s="318"/>
    </row>
    <row r="71" spans="1:33" s="308" customFormat="1" ht="15">
      <c r="A71" s="312">
        <v>100</v>
      </c>
      <c r="C71" s="313" t="s">
        <v>1076</v>
      </c>
      <c r="D71" s="308" t="s">
        <v>433</v>
      </c>
      <c r="F71" s="314" t="s">
        <v>184</v>
      </c>
      <c r="J71" s="315"/>
      <c r="K71" s="315"/>
      <c r="L71" s="314" t="s">
        <v>187</v>
      </c>
      <c r="M71" s="316" t="s">
        <v>186</v>
      </c>
      <c r="N71" s="317" t="s">
        <v>1319</v>
      </c>
      <c r="O71" s="317">
        <v>96.36495</v>
      </c>
      <c r="P71" s="317">
        <v>24.99835</v>
      </c>
      <c r="Q71" s="315">
        <v>22</v>
      </c>
      <c r="R71" s="315">
        <v>101</v>
      </c>
      <c r="S71" s="1">
        <f>Table_CampList[[#This Row],[Total]]/Table_CampList[[#This Row],[HH]]</f>
        <v>4.590909090909091</v>
      </c>
      <c r="T71" s="313" t="s">
        <v>1320</v>
      </c>
      <c r="U71" s="318"/>
      <c r="V71" s="318"/>
      <c r="W71" s="318"/>
      <c r="X71" s="318"/>
      <c r="Y71" s="318"/>
      <c r="Z71" s="318"/>
      <c r="AA71" s="318"/>
      <c r="AB71" s="318"/>
      <c r="AC71" s="318"/>
      <c r="AD71" s="318"/>
      <c r="AE71" s="318"/>
      <c r="AF71" s="318"/>
      <c r="AG71" s="318"/>
    </row>
    <row r="72" spans="1:33" s="308" customFormat="1" ht="15">
      <c r="A72" s="312">
        <v>101</v>
      </c>
      <c r="C72" s="313" t="s">
        <v>1076</v>
      </c>
      <c r="D72" s="308" t="s">
        <v>433</v>
      </c>
      <c r="F72" s="314" t="s">
        <v>184</v>
      </c>
      <c r="J72" s="315"/>
      <c r="K72" s="315"/>
      <c r="L72" s="314" t="s">
        <v>292</v>
      </c>
      <c r="M72" s="316" t="s">
        <v>291</v>
      </c>
      <c r="N72" s="317" t="s">
        <v>1319</v>
      </c>
      <c r="O72" s="319"/>
      <c r="P72" s="319"/>
      <c r="Q72" s="315" t="s">
        <v>1320</v>
      </c>
      <c r="R72" s="315" t="s">
        <v>1320</v>
      </c>
      <c r="S72" s="1" t="e">
        <f>Table_CampList[[#This Row],[Total]]/Table_CampList[[#This Row],[HH]]</f>
        <v>#VALUE!</v>
      </c>
      <c r="T72" s="313" t="s">
        <v>996</v>
      </c>
      <c r="U72" s="318"/>
      <c r="V72" s="318"/>
      <c r="W72" s="318"/>
      <c r="X72" s="318"/>
      <c r="Y72" s="318"/>
      <c r="Z72" s="318"/>
      <c r="AA72" s="318"/>
      <c r="AB72" s="318"/>
      <c r="AC72" s="318"/>
      <c r="AD72" s="318"/>
      <c r="AE72" s="318"/>
      <c r="AF72" s="318"/>
      <c r="AG72" s="318"/>
    </row>
    <row r="73" spans="1:33" s="308" customFormat="1" ht="15">
      <c r="A73" s="312">
        <v>102</v>
      </c>
      <c r="C73" s="313" t="s">
        <v>1076</v>
      </c>
      <c r="D73" s="308" t="s">
        <v>433</v>
      </c>
      <c r="F73" s="314" t="s">
        <v>184</v>
      </c>
      <c r="J73" s="315"/>
      <c r="K73" s="315"/>
      <c r="L73" s="314" t="s">
        <v>185</v>
      </c>
      <c r="M73" s="316" t="s">
        <v>183</v>
      </c>
      <c r="N73" s="317" t="s">
        <v>1319</v>
      </c>
      <c r="O73" s="317">
        <v>96.36706</v>
      </c>
      <c r="P73" s="317">
        <v>24.7648</v>
      </c>
      <c r="Q73" s="315">
        <v>12</v>
      </c>
      <c r="R73" s="315">
        <v>42</v>
      </c>
      <c r="S73" s="1">
        <f>Table_CampList[[#This Row],[Total]]/Table_CampList[[#This Row],[HH]]</f>
        <v>3.5</v>
      </c>
      <c r="T73" s="313" t="s">
        <v>1320</v>
      </c>
      <c r="U73" s="318"/>
      <c r="V73" s="318"/>
      <c r="W73" s="318"/>
      <c r="X73" s="318"/>
      <c r="Y73" s="318"/>
      <c r="Z73" s="318"/>
      <c r="AA73" s="318"/>
      <c r="AB73" s="318"/>
      <c r="AC73" s="318"/>
      <c r="AD73" s="318"/>
      <c r="AE73" s="318"/>
      <c r="AF73" s="318"/>
      <c r="AG73" s="318"/>
    </row>
    <row r="74" spans="1:33" s="308" customFormat="1" ht="15">
      <c r="A74" s="312">
        <v>103</v>
      </c>
      <c r="C74" s="313" t="s">
        <v>1076</v>
      </c>
      <c r="D74" s="308" t="s">
        <v>433</v>
      </c>
      <c r="F74" s="314" t="s">
        <v>189</v>
      </c>
      <c r="J74" s="315"/>
      <c r="K74" s="315"/>
      <c r="L74" s="314" t="s">
        <v>192</v>
      </c>
      <c r="M74" s="316" t="s">
        <v>191</v>
      </c>
      <c r="N74" s="317" t="s">
        <v>1323</v>
      </c>
      <c r="O74" s="317">
        <v>97.609833</v>
      </c>
      <c r="P74" s="317">
        <v>24.002433</v>
      </c>
      <c r="Q74" s="315">
        <v>173</v>
      </c>
      <c r="R74" s="315">
        <v>832</v>
      </c>
      <c r="S74" s="1">
        <f>Table_CampList[[#This Row],[Total]]/Table_CampList[[#This Row],[HH]]</f>
        <v>4.809248554913295</v>
      </c>
      <c r="T74" s="313" t="s">
        <v>1324</v>
      </c>
      <c r="U74" s="318"/>
      <c r="V74" s="318"/>
      <c r="W74" s="318"/>
      <c r="X74" s="318"/>
      <c r="Y74" s="318"/>
      <c r="Z74" s="318"/>
      <c r="AA74" s="318"/>
      <c r="AB74" s="318"/>
      <c r="AC74" s="318"/>
      <c r="AD74" s="318"/>
      <c r="AE74" s="318"/>
      <c r="AF74" s="318"/>
      <c r="AG74" s="318"/>
    </row>
    <row r="75" spans="1:33" s="308" customFormat="1" ht="15">
      <c r="A75" s="312">
        <v>104</v>
      </c>
      <c r="C75" s="313" t="s">
        <v>1076</v>
      </c>
      <c r="D75" s="308" t="s">
        <v>433</v>
      </c>
      <c r="F75" s="314" t="s">
        <v>189</v>
      </c>
      <c r="J75" s="315"/>
      <c r="K75" s="315"/>
      <c r="L75" s="314" t="s">
        <v>196</v>
      </c>
      <c r="M75" s="316" t="s">
        <v>195</v>
      </c>
      <c r="N75" s="317" t="s">
        <v>1323</v>
      </c>
      <c r="O75" s="317">
        <v>97.5371</v>
      </c>
      <c r="P75" s="317">
        <v>24.461033</v>
      </c>
      <c r="Q75" s="315">
        <v>125</v>
      </c>
      <c r="R75" s="315">
        <v>599</v>
      </c>
      <c r="S75" s="1">
        <f>Table_CampList[[#This Row],[Total]]/Table_CampList[[#This Row],[HH]]</f>
        <v>4.792</v>
      </c>
      <c r="T75" s="313" t="s">
        <v>1325</v>
      </c>
      <c r="U75" s="318"/>
      <c r="V75" s="318"/>
      <c r="W75" s="318"/>
      <c r="X75" s="318"/>
      <c r="Y75" s="318"/>
      <c r="Z75" s="318"/>
      <c r="AA75" s="318"/>
      <c r="AB75" s="318"/>
      <c r="AC75" s="318"/>
      <c r="AD75" s="318"/>
      <c r="AE75" s="318"/>
      <c r="AF75" s="318"/>
      <c r="AG75" s="318"/>
    </row>
    <row r="76" spans="1:33" s="308" customFormat="1" ht="15">
      <c r="A76" s="312">
        <v>105</v>
      </c>
      <c r="C76" s="313" t="s">
        <v>1076</v>
      </c>
      <c r="D76" s="308" t="s">
        <v>433</v>
      </c>
      <c r="F76" s="314" t="s">
        <v>189</v>
      </c>
      <c r="J76" s="315"/>
      <c r="K76" s="315"/>
      <c r="L76" s="314" t="s">
        <v>198</v>
      </c>
      <c r="M76" s="316" t="s">
        <v>197</v>
      </c>
      <c r="N76" s="317" t="s">
        <v>1323</v>
      </c>
      <c r="O76" s="317">
        <v>97.573167</v>
      </c>
      <c r="P76" s="317">
        <v>24.661467</v>
      </c>
      <c r="Q76" s="315">
        <v>437</v>
      </c>
      <c r="R76" s="315">
        <v>2101</v>
      </c>
      <c r="S76" s="1">
        <f>Table_CampList[[#This Row],[Total]]/Table_CampList[[#This Row],[HH]]</f>
        <v>4.807780320366133</v>
      </c>
      <c r="T76" s="313" t="s">
        <v>1324</v>
      </c>
      <c r="U76" s="318"/>
      <c r="V76" s="318"/>
      <c r="W76" s="318"/>
      <c r="X76" s="318"/>
      <c r="Y76" s="318"/>
      <c r="Z76" s="318"/>
      <c r="AA76" s="318"/>
      <c r="AB76" s="318"/>
      <c r="AC76" s="318"/>
      <c r="AD76" s="318"/>
      <c r="AE76" s="318"/>
      <c r="AF76" s="318"/>
      <c r="AG76" s="318"/>
    </row>
    <row r="77" spans="1:33" s="308" customFormat="1" ht="15">
      <c r="A77" s="312">
        <v>106</v>
      </c>
      <c r="C77" s="313" t="s">
        <v>1076</v>
      </c>
      <c r="D77" s="308" t="s">
        <v>433</v>
      </c>
      <c r="F77" s="314" t="s">
        <v>189</v>
      </c>
      <c r="J77" s="315"/>
      <c r="K77" s="315"/>
      <c r="L77" s="314" t="s">
        <v>200</v>
      </c>
      <c r="M77" s="316" t="s">
        <v>199</v>
      </c>
      <c r="N77" s="317" t="s">
        <v>1323</v>
      </c>
      <c r="O77" s="317">
        <v>97.568283</v>
      </c>
      <c r="P77" s="317">
        <v>24.688167</v>
      </c>
      <c r="Q77" s="315">
        <v>1632</v>
      </c>
      <c r="R77" s="315">
        <v>8446</v>
      </c>
      <c r="S77" s="1">
        <f>Table_CampList[[#This Row],[Total]]/Table_CampList[[#This Row],[HH]]</f>
        <v>5.175245098039215</v>
      </c>
      <c r="T77" s="313" t="s">
        <v>1324</v>
      </c>
      <c r="U77" s="318"/>
      <c r="V77" s="318"/>
      <c r="W77" s="318"/>
      <c r="X77" s="318"/>
      <c r="Y77" s="318"/>
      <c r="Z77" s="318"/>
      <c r="AA77" s="318"/>
      <c r="AB77" s="318"/>
      <c r="AC77" s="318"/>
      <c r="AD77" s="318"/>
      <c r="AE77" s="318"/>
      <c r="AF77" s="318"/>
      <c r="AG77" s="318"/>
    </row>
    <row r="78" spans="1:33" s="308" customFormat="1" ht="15">
      <c r="A78" s="312">
        <v>107</v>
      </c>
      <c r="C78" s="313" t="s">
        <v>1076</v>
      </c>
      <c r="D78" s="308" t="s">
        <v>433</v>
      </c>
      <c r="F78" s="314" t="s">
        <v>189</v>
      </c>
      <c r="J78" s="315"/>
      <c r="K78" s="315"/>
      <c r="L78" s="314" t="s">
        <v>202</v>
      </c>
      <c r="M78" s="316" t="s">
        <v>201</v>
      </c>
      <c r="N78" s="317" t="s">
        <v>1323</v>
      </c>
      <c r="O78" s="317">
        <v>97.625617</v>
      </c>
      <c r="P78" s="317">
        <v>24.056133</v>
      </c>
      <c r="Q78" s="315">
        <v>608</v>
      </c>
      <c r="R78" s="315">
        <v>2703</v>
      </c>
      <c r="S78" s="1">
        <f>Table_CampList[[#This Row],[Total]]/Table_CampList[[#This Row],[HH]]</f>
        <v>4.4457236842105265</v>
      </c>
      <c r="T78" s="313" t="s">
        <v>1324</v>
      </c>
      <c r="U78" s="318"/>
      <c r="V78" s="318"/>
      <c r="W78" s="318"/>
      <c r="X78" s="318"/>
      <c r="Y78" s="318"/>
      <c r="Z78" s="318"/>
      <c r="AA78" s="318"/>
      <c r="AB78" s="318"/>
      <c r="AC78" s="318"/>
      <c r="AD78" s="318"/>
      <c r="AE78" s="318"/>
      <c r="AF78" s="318"/>
      <c r="AG78" s="318"/>
    </row>
    <row r="79" spans="1:33" s="308" customFormat="1" ht="15">
      <c r="A79" s="312">
        <v>108</v>
      </c>
      <c r="C79" s="313" t="s">
        <v>1076</v>
      </c>
      <c r="D79" s="308" t="s">
        <v>433</v>
      </c>
      <c r="F79" s="314" t="s">
        <v>189</v>
      </c>
      <c r="J79" s="315"/>
      <c r="K79" s="315"/>
      <c r="L79" s="314" t="s">
        <v>219</v>
      </c>
      <c r="M79" s="316" t="s">
        <v>218</v>
      </c>
      <c r="N79" s="317" t="s">
        <v>1323</v>
      </c>
      <c r="O79" s="317">
        <v>97.669367</v>
      </c>
      <c r="P79" s="317">
        <v>24.378167</v>
      </c>
      <c r="Q79" s="315">
        <v>380</v>
      </c>
      <c r="R79" s="315">
        <v>1701</v>
      </c>
      <c r="S79" s="1">
        <f>Table_CampList[[#This Row],[Total]]/Table_CampList[[#This Row],[HH]]</f>
        <v>4.476315789473684</v>
      </c>
      <c r="T79" s="313" t="s">
        <v>1324</v>
      </c>
      <c r="U79" s="318"/>
      <c r="V79" s="318"/>
      <c r="W79" s="318"/>
      <c r="X79" s="318"/>
      <c r="Y79" s="318"/>
      <c r="Z79" s="318"/>
      <c r="AA79" s="318"/>
      <c r="AB79" s="318"/>
      <c r="AC79" s="318"/>
      <c r="AD79" s="318"/>
      <c r="AE79" s="318"/>
      <c r="AF79" s="318"/>
      <c r="AG79" s="318"/>
    </row>
    <row r="80" spans="1:33" s="308" customFormat="1" ht="15">
      <c r="A80" s="312">
        <v>109</v>
      </c>
      <c r="C80" s="313" t="s">
        <v>1076</v>
      </c>
      <c r="D80" s="308" t="s">
        <v>433</v>
      </c>
      <c r="F80" s="314" t="s">
        <v>189</v>
      </c>
      <c r="J80" s="315"/>
      <c r="K80" s="315"/>
      <c r="L80" s="314" t="s">
        <v>223</v>
      </c>
      <c r="M80" s="316" t="s">
        <v>222</v>
      </c>
      <c r="N80" s="317" t="s">
        <v>1323</v>
      </c>
      <c r="O80" s="317">
        <v>97.752667</v>
      </c>
      <c r="P80" s="317">
        <v>24.2744</v>
      </c>
      <c r="Q80" s="315">
        <v>486</v>
      </c>
      <c r="R80" s="315">
        <v>2699</v>
      </c>
      <c r="S80" s="1">
        <f>Table_CampList[[#This Row],[Total]]/Table_CampList[[#This Row],[HH]]</f>
        <v>5.553497942386831</v>
      </c>
      <c r="T80" s="313" t="s">
        <v>1324</v>
      </c>
      <c r="U80" s="318"/>
      <c r="V80" s="318"/>
      <c r="W80" s="318"/>
      <c r="X80" s="318"/>
      <c r="Y80" s="318"/>
      <c r="Z80" s="318"/>
      <c r="AA80" s="318"/>
      <c r="AB80" s="318"/>
      <c r="AC80" s="318"/>
      <c r="AD80" s="318"/>
      <c r="AE80" s="318"/>
      <c r="AF80" s="318"/>
      <c r="AG80" s="318"/>
    </row>
    <row r="81" spans="1:33" s="308" customFormat="1" ht="15">
      <c r="A81" s="312">
        <v>110</v>
      </c>
      <c r="C81" s="313" t="s">
        <v>1076</v>
      </c>
      <c r="D81" s="308" t="s">
        <v>433</v>
      </c>
      <c r="F81" s="314" t="s">
        <v>189</v>
      </c>
      <c r="J81" s="315"/>
      <c r="K81" s="315"/>
      <c r="L81" s="314" t="s">
        <v>14</v>
      </c>
      <c r="M81" s="316" t="s">
        <v>446</v>
      </c>
      <c r="N81" s="317" t="s">
        <v>1319</v>
      </c>
      <c r="O81" s="319"/>
      <c r="P81" s="319"/>
      <c r="Q81" s="315">
        <v>421</v>
      </c>
      <c r="R81" s="315">
        <v>1369</v>
      </c>
      <c r="S81" s="1">
        <f>Table_CampList[[#This Row],[Total]]/Table_CampList[[#This Row],[HH]]</f>
        <v>3.2517814726840855</v>
      </c>
      <c r="T81" s="313" t="s">
        <v>1320</v>
      </c>
      <c r="U81" s="318"/>
      <c r="V81" s="318"/>
      <c r="W81" s="318"/>
      <c r="X81" s="318"/>
      <c r="Y81" s="318"/>
      <c r="Z81" s="318"/>
      <c r="AA81" s="318"/>
      <c r="AB81" s="318"/>
      <c r="AC81" s="318"/>
      <c r="AD81" s="318"/>
      <c r="AE81" s="318"/>
      <c r="AF81" s="318"/>
      <c r="AG81" s="318"/>
    </row>
    <row r="82" spans="1:33" s="308" customFormat="1" ht="15">
      <c r="A82" s="312">
        <v>111</v>
      </c>
      <c r="C82" s="313" t="s">
        <v>1076</v>
      </c>
      <c r="D82" s="308" t="s">
        <v>433</v>
      </c>
      <c r="F82" s="314" t="s">
        <v>189</v>
      </c>
      <c r="J82" s="315"/>
      <c r="K82" s="315"/>
      <c r="L82" s="314" t="s">
        <v>190</v>
      </c>
      <c r="M82" s="316" t="s">
        <v>188</v>
      </c>
      <c r="N82" s="317" t="s">
        <v>1319</v>
      </c>
      <c r="O82" s="317">
        <v>97.718583</v>
      </c>
      <c r="P82" s="317">
        <v>24.200972</v>
      </c>
      <c r="Q82" s="315">
        <v>19</v>
      </c>
      <c r="R82" s="315">
        <v>106</v>
      </c>
      <c r="S82" s="1">
        <f>Table_CampList[[#This Row],[Total]]/Table_CampList[[#This Row],[HH]]</f>
        <v>5.578947368421052</v>
      </c>
      <c r="T82" s="313" t="s">
        <v>960</v>
      </c>
      <c r="U82" s="318"/>
      <c r="V82" s="318"/>
      <c r="W82" s="318"/>
      <c r="X82" s="318"/>
      <c r="Y82" s="318"/>
      <c r="Z82" s="318"/>
      <c r="AA82" s="318"/>
      <c r="AB82" s="318"/>
      <c r="AC82" s="318"/>
      <c r="AD82" s="318"/>
      <c r="AE82" s="318"/>
      <c r="AF82" s="318"/>
      <c r="AG82" s="318"/>
    </row>
    <row r="83" spans="1:33" s="308" customFormat="1" ht="15">
      <c r="A83" s="312">
        <v>112</v>
      </c>
      <c r="C83" s="313" t="s">
        <v>1076</v>
      </c>
      <c r="D83" s="308" t="s">
        <v>433</v>
      </c>
      <c r="F83" s="314" t="s">
        <v>189</v>
      </c>
      <c r="J83" s="315"/>
      <c r="K83" s="315"/>
      <c r="L83" s="314" t="s">
        <v>227</v>
      </c>
      <c r="M83" s="316" t="s">
        <v>226</v>
      </c>
      <c r="N83" s="317" t="s">
        <v>1319</v>
      </c>
      <c r="O83" s="317">
        <v>97.724567</v>
      </c>
      <c r="P83" s="317">
        <v>24.205417</v>
      </c>
      <c r="Q83" s="315">
        <v>59</v>
      </c>
      <c r="R83" s="315">
        <v>281</v>
      </c>
      <c r="S83" s="1">
        <f>Table_CampList[[#This Row],[Total]]/Table_CampList[[#This Row],[HH]]</f>
        <v>4.762711864406779</v>
      </c>
      <c r="T83" s="313" t="s">
        <v>995</v>
      </c>
      <c r="U83" s="318"/>
      <c r="V83" s="318"/>
      <c r="W83" s="318"/>
      <c r="X83" s="318"/>
      <c r="Y83" s="318"/>
      <c r="Z83" s="318"/>
      <c r="AA83" s="318"/>
      <c r="AB83" s="318"/>
      <c r="AC83" s="318"/>
      <c r="AD83" s="318"/>
      <c r="AE83" s="318"/>
      <c r="AF83" s="318"/>
      <c r="AG83" s="318"/>
    </row>
    <row r="84" spans="1:33" s="308" customFormat="1" ht="15">
      <c r="A84" s="312">
        <v>113</v>
      </c>
      <c r="C84" s="313" t="s">
        <v>1076</v>
      </c>
      <c r="D84" s="308" t="s">
        <v>433</v>
      </c>
      <c r="F84" s="314" t="s">
        <v>189</v>
      </c>
      <c r="J84" s="315"/>
      <c r="K84" s="315"/>
      <c r="L84" s="314" t="s">
        <v>194</v>
      </c>
      <c r="M84" s="316" t="s">
        <v>193</v>
      </c>
      <c r="N84" s="317" t="s">
        <v>1319</v>
      </c>
      <c r="O84" s="317">
        <v>97.717133</v>
      </c>
      <c r="P84" s="317">
        <v>24.200433</v>
      </c>
      <c r="Q84" s="315">
        <v>127</v>
      </c>
      <c r="R84" s="315">
        <v>631</v>
      </c>
      <c r="S84" s="1">
        <f>Table_CampList[[#This Row],[Total]]/Table_CampList[[#This Row],[HH]]</f>
        <v>4.968503937007874</v>
      </c>
      <c r="T84" s="313" t="s">
        <v>960</v>
      </c>
      <c r="U84" s="318"/>
      <c r="V84" s="318"/>
      <c r="W84" s="318"/>
      <c r="X84" s="318"/>
      <c r="Y84" s="318"/>
      <c r="Z84" s="318"/>
      <c r="AA84" s="318"/>
      <c r="AB84" s="318"/>
      <c r="AC84" s="318"/>
      <c r="AD84" s="318"/>
      <c r="AE84" s="318"/>
      <c r="AF84" s="318"/>
      <c r="AG84" s="318"/>
    </row>
    <row r="85" spans="1:33" s="308" customFormat="1" ht="15">
      <c r="A85" s="312">
        <v>114</v>
      </c>
      <c r="C85" s="313" t="s">
        <v>1076</v>
      </c>
      <c r="D85" s="308" t="s">
        <v>433</v>
      </c>
      <c r="F85" s="314" t="s">
        <v>189</v>
      </c>
      <c r="J85" s="315"/>
      <c r="K85" s="315"/>
      <c r="L85" s="314" t="s">
        <v>204</v>
      </c>
      <c r="M85" s="316" t="s">
        <v>203</v>
      </c>
      <c r="N85" s="317" t="s">
        <v>1319</v>
      </c>
      <c r="O85" s="319"/>
      <c r="P85" s="319"/>
      <c r="Q85" s="315">
        <v>2</v>
      </c>
      <c r="R85" s="315">
        <v>9</v>
      </c>
      <c r="S85" s="1">
        <f>Table_CampList[[#This Row],[Total]]/Table_CampList[[#This Row],[HH]]</f>
        <v>4.5</v>
      </c>
      <c r="T85" s="313" t="s">
        <v>1320</v>
      </c>
      <c r="U85" s="318"/>
      <c r="V85" s="318"/>
      <c r="W85" s="318"/>
      <c r="X85" s="318"/>
      <c r="Y85" s="318"/>
      <c r="Z85" s="318"/>
      <c r="AA85" s="318"/>
      <c r="AB85" s="318"/>
      <c r="AC85" s="318"/>
      <c r="AD85" s="318"/>
      <c r="AE85" s="318"/>
      <c r="AF85" s="318"/>
      <c r="AG85" s="318"/>
    </row>
    <row r="86" spans="1:33" s="308" customFormat="1" ht="15">
      <c r="A86" s="312">
        <v>115</v>
      </c>
      <c r="C86" s="313" t="s">
        <v>1076</v>
      </c>
      <c r="D86" s="308" t="s">
        <v>433</v>
      </c>
      <c r="F86" s="314" t="s">
        <v>189</v>
      </c>
      <c r="J86" s="315"/>
      <c r="K86" s="315"/>
      <c r="L86" s="314" t="s">
        <v>206</v>
      </c>
      <c r="M86" s="316" t="s">
        <v>205</v>
      </c>
      <c r="N86" s="317" t="s">
        <v>1319</v>
      </c>
      <c r="O86" s="317">
        <v>97.32502</v>
      </c>
      <c r="P86" s="317">
        <v>24.2451</v>
      </c>
      <c r="Q86" s="315">
        <v>18</v>
      </c>
      <c r="R86" s="315">
        <v>65</v>
      </c>
      <c r="S86" s="1">
        <f>Table_CampList[[#This Row],[Total]]/Table_CampList[[#This Row],[HH]]</f>
        <v>3.611111111111111</v>
      </c>
      <c r="T86" s="313" t="s">
        <v>995</v>
      </c>
      <c r="U86" s="318"/>
      <c r="V86" s="318"/>
      <c r="W86" s="318"/>
      <c r="X86" s="318"/>
      <c r="Y86" s="318"/>
      <c r="Z86" s="318"/>
      <c r="AA86" s="318"/>
      <c r="AB86" s="318"/>
      <c r="AC86" s="318"/>
      <c r="AD86" s="318"/>
      <c r="AE86" s="318"/>
      <c r="AF86" s="318"/>
      <c r="AG86" s="318"/>
    </row>
    <row r="87" spans="1:33" s="308" customFormat="1" ht="15">
      <c r="A87" s="312">
        <v>116</v>
      </c>
      <c r="C87" s="313" t="s">
        <v>1076</v>
      </c>
      <c r="D87" s="308" t="s">
        <v>433</v>
      </c>
      <c r="F87" s="314" t="s">
        <v>189</v>
      </c>
      <c r="J87" s="315"/>
      <c r="K87" s="315"/>
      <c r="L87" s="314" t="s">
        <v>208</v>
      </c>
      <c r="M87" s="316" t="s">
        <v>207</v>
      </c>
      <c r="N87" s="317" t="s">
        <v>1319</v>
      </c>
      <c r="O87" s="317">
        <v>97.32166</v>
      </c>
      <c r="P87" s="317">
        <v>24.41</v>
      </c>
      <c r="Q87" s="315">
        <v>28</v>
      </c>
      <c r="R87" s="315">
        <v>136</v>
      </c>
      <c r="S87" s="1">
        <f>Table_CampList[[#This Row],[Total]]/Table_CampList[[#This Row],[HH]]</f>
        <v>4.857142857142857</v>
      </c>
      <c r="T87" s="313" t="s">
        <v>1320</v>
      </c>
      <c r="U87" s="318"/>
      <c r="V87" s="318"/>
      <c r="W87" s="318"/>
      <c r="X87" s="318"/>
      <c r="Y87" s="318"/>
      <c r="Z87" s="318"/>
      <c r="AA87" s="318"/>
      <c r="AB87" s="318"/>
      <c r="AC87" s="318"/>
      <c r="AD87" s="318"/>
      <c r="AE87" s="318"/>
      <c r="AF87" s="318"/>
      <c r="AG87" s="318"/>
    </row>
    <row r="88" spans="1:33" s="308" customFormat="1" ht="15">
      <c r="A88" s="312">
        <v>117</v>
      </c>
      <c r="C88" s="313" t="s">
        <v>1076</v>
      </c>
      <c r="D88" s="308" t="s">
        <v>433</v>
      </c>
      <c r="F88" s="314" t="s">
        <v>189</v>
      </c>
      <c r="J88" s="315"/>
      <c r="K88" s="315"/>
      <c r="L88" s="314" t="s">
        <v>209</v>
      </c>
      <c r="M88" s="316" t="s">
        <v>447</v>
      </c>
      <c r="N88" s="317" t="s">
        <v>1319</v>
      </c>
      <c r="O88" s="319"/>
      <c r="P88" s="319"/>
      <c r="Q88" s="315" t="s">
        <v>1320</v>
      </c>
      <c r="R88" s="315" t="s">
        <v>1320</v>
      </c>
      <c r="S88" s="1" t="e">
        <f>Table_CampList[[#This Row],[Total]]/Table_CampList[[#This Row],[HH]]</f>
        <v>#VALUE!</v>
      </c>
      <c r="T88" s="313" t="s">
        <v>1320</v>
      </c>
      <c r="U88" s="318"/>
      <c r="V88" s="318"/>
      <c r="W88" s="318"/>
      <c r="X88" s="318"/>
      <c r="Y88" s="318"/>
      <c r="Z88" s="318"/>
      <c r="AA88" s="318"/>
      <c r="AB88" s="318"/>
      <c r="AC88" s="318"/>
      <c r="AD88" s="318"/>
      <c r="AE88" s="318"/>
      <c r="AF88" s="318"/>
      <c r="AG88" s="318"/>
    </row>
    <row r="89" spans="1:33" s="308" customFormat="1" ht="15">
      <c r="A89" s="312">
        <v>118</v>
      </c>
      <c r="C89" s="313" t="s">
        <v>1076</v>
      </c>
      <c r="D89" s="308" t="s">
        <v>433</v>
      </c>
      <c r="F89" s="314" t="s">
        <v>189</v>
      </c>
      <c r="J89" s="315"/>
      <c r="K89" s="315"/>
      <c r="L89" s="314" t="s">
        <v>211</v>
      </c>
      <c r="M89" s="316" t="s">
        <v>210</v>
      </c>
      <c r="N89" s="317" t="s">
        <v>1319</v>
      </c>
      <c r="O89" s="317">
        <v>97.34694</v>
      </c>
      <c r="P89" s="317">
        <v>24.25186</v>
      </c>
      <c r="Q89" s="315">
        <v>8</v>
      </c>
      <c r="R89" s="315">
        <v>25</v>
      </c>
      <c r="S89" s="1">
        <f>Table_CampList[[#This Row],[Total]]/Table_CampList[[#This Row],[HH]]</f>
        <v>3.125</v>
      </c>
      <c r="T89" s="313" t="s">
        <v>960</v>
      </c>
      <c r="U89" s="318"/>
      <c r="V89" s="318"/>
      <c r="W89" s="318"/>
      <c r="X89" s="318"/>
      <c r="Y89" s="318"/>
      <c r="Z89" s="318"/>
      <c r="AA89" s="318"/>
      <c r="AB89" s="318"/>
      <c r="AC89" s="318"/>
      <c r="AD89" s="318"/>
      <c r="AE89" s="318"/>
      <c r="AF89" s="318"/>
      <c r="AG89" s="318"/>
    </row>
    <row r="90" spans="1:33" s="308" customFormat="1" ht="15">
      <c r="A90" s="312">
        <v>119</v>
      </c>
      <c r="C90" s="313" t="s">
        <v>1076</v>
      </c>
      <c r="D90" s="308" t="s">
        <v>433</v>
      </c>
      <c r="F90" s="314" t="s">
        <v>189</v>
      </c>
      <c r="J90" s="315"/>
      <c r="K90" s="315"/>
      <c r="L90" s="314" t="s">
        <v>213</v>
      </c>
      <c r="M90" s="316" t="s">
        <v>212</v>
      </c>
      <c r="N90" s="317" t="s">
        <v>1319</v>
      </c>
      <c r="O90" s="317">
        <v>97.34436</v>
      </c>
      <c r="P90" s="317">
        <v>24.25069</v>
      </c>
      <c r="Q90" s="315">
        <v>384</v>
      </c>
      <c r="R90" s="315">
        <v>1502</v>
      </c>
      <c r="S90" s="1">
        <f>Table_CampList[[#This Row],[Total]]/Table_CampList[[#This Row],[HH]]</f>
        <v>3.9114583333333335</v>
      </c>
      <c r="T90" s="313" t="s">
        <v>960</v>
      </c>
      <c r="U90" s="318"/>
      <c r="V90" s="318"/>
      <c r="W90" s="318"/>
      <c r="X90" s="318"/>
      <c r="Y90" s="318"/>
      <c r="Z90" s="318"/>
      <c r="AA90" s="318"/>
      <c r="AB90" s="318"/>
      <c r="AC90" s="318"/>
      <c r="AD90" s="318"/>
      <c r="AE90" s="318"/>
      <c r="AF90" s="318"/>
      <c r="AG90" s="318"/>
    </row>
    <row r="91" spans="1:33" s="308" customFormat="1" ht="15">
      <c r="A91" s="312">
        <v>120</v>
      </c>
      <c r="C91" s="313" t="s">
        <v>1076</v>
      </c>
      <c r="D91" s="308" t="s">
        <v>433</v>
      </c>
      <c r="F91" s="314" t="s">
        <v>189</v>
      </c>
      <c r="J91" s="315"/>
      <c r="K91" s="315"/>
      <c r="L91" s="314" t="s">
        <v>215</v>
      </c>
      <c r="M91" s="316" t="s">
        <v>214</v>
      </c>
      <c r="N91" s="317" t="s">
        <v>1319</v>
      </c>
      <c r="O91" s="317">
        <v>97.34695</v>
      </c>
      <c r="P91" s="317">
        <v>24.25177</v>
      </c>
      <c r="Q91" s="315">
        <v>285</v>
      </c>
      <c r="R91" s="315">
        <v>1036</v>
      </c>
      <c r="S91" s="1">
        <f>Table_CampList[[#This Row],[Total]]/Table_CampList[[#This Row],[HH]]</f>
        <v>3.635087719298246</v>
      </c>
      <c r="T91" s="313" t="s">
        <v>995</v>
      </c>
      <c r="U91" s="318"/>
      <c r="V91" s="318"/>
      <c r="W91" s="318"/>
      <c r="X91" s="318"/>
      <c r="Y91" s="318"/>
      <c r="Z91" s="318"/>
      <c r="AA91" s="318"/>
      <c r="AB91" s="318"/>
      <c r="AC91" s="318"/>
      <c r="AD91" s="318"/>
      <c r="AE91" s="318"/>
      <c r="AF91" s="318"/>
      <c r="AG91" s="318"/>
    </row>
    <row r="92" spans="1:33" s="308" customFormat="1" ht="15">
      <c r="A92" s="312">
        <v>121</v>
      </c>
      <c r="C92" s="313" t="s">
        <v>1076</v>
      </c>
      <c r="D92" s="308" t="s">
        <v>433</v>
      </c>
      <c r="F92" s="314" t="s">
        <v>189</v>
      </c>
      <c r="J92" s="315"/>
      <c r="K92" s="315"/>
      <c r="L92" s="314" t="s">
        <v>217</v>
      </c>
      <c r="M92" s="316" t="s">
        <v>216</v>
      </c>
      <c r="N92" s="317" t="s">
        <v>1319</v>
      </c>
      <c r="O92" s="319"/>
      <c r="P92" s="319"/>
      <c r="Q92" s="315">
        <v>13</v>
      </c>
      <c r="R92" s="315">
        <v>53</v>
      </c>
      <c r="S92" s="1">
        <f>Table_CampList[[#This Row],[Total]]/Table_CampList[[#This Row],[HH]]</f>
        <v>4.076923076923077</v>
      </c>
      <c r="T92" s="313" t="s">
        <v>1320</v>
      </c>
      <c r="U92" s="318"/>
      <c r="V92" s="318"/>
      <c r="W92" s="318"/>
      <c r="X92" s="318"/>
      <c r="Y92" s="318"/>
      <c r="Z92" s="318"/>
      <c r="AA92" s="318"/>
      <c r="AB92" s="318"/>
      <c r="AC92" s="318"/>
      <c r="AD92" s="318"/>
      <c r="AE92" s="318"/>
      <c r="AF92" s="318"/>
      <c r="AG92" s="318"/>
    </row>
    <row r="93" spans="1:33" s="308" customFormat="1" ht="15">
      <c r="A93" s="312">
        <v>122</v>
      </c>
      <c r="C93" s="313" t="s">
        <v>1076</v>
      </c>
      <c r="D93" s="308" t="s">
        <v>433</v>
      </c>
      <c r="F93" s="314" t="s">
        <v>189</v>
      </c>
      <c r="J93" s="315"/>
      <c r="K93" s="315"/>
      <c r="L93" s="314" t="s">
        <v>221</v>
      </c>
      <c r="M93" s="316" t="s">
        <v>220</v>
      </c>
      <c r="N93" s="317" t="s">
        <v>1319</v>
      </c>
      <c r="O93" s="317">
        <v>97.34774</v>
      </c>
      <c r="P93" s="317">
        <v>24.25377</v>
      </c>
      <c r="Q93" s="315">
        <v>26</v>
      </c>
      <c r="R93" s="315">
        <v>101</v>
      </c>
      <c r="S93" s="1">
        <f>Table_CampList[[#This Row],[Total]]/Table_CampList[[#This Row],[HH]]</f>
        <v>3.8846153846153846</v>
      </c>
      <c r="T93" s="313" t="s">
        <v>960</v>
      </c>
      <c r="U93" s="318"/>
      <c r="V93" s="318"/>
      <c r="W93" s="318"/>
      <c r="X93" s="318"/>
      <c r="Y93" s="318"/>
      <c r="Z93" s="318"/>
      <c r="AA93" s="318"/>
      <c r="AB93" s="318"/>
      <c r="AC93" s="318"/>
      <c r="AD93" s="318"/>
      <c r="AE93" s="318"/>
      <c r="AF93" s="318"/>
      <c r="AG93" s="318"/>
    </row>
    <row r="94" spans="1:33" s="308" customFormat="1" ht="15">
      <c r="A94" s="312">
        <v>123</v>
      </c>
      <c r="C94" s="313" t="s">
        <v>1076</v>
      </c>
      <c r="D94" s="308" t="s">
        <v>433</v>
      </c>
      <c r="F94" s="314" t="s">
        <v>189</v>
      </c>
      <c r="J94" s="315"/>
      <c r="K94" s="315"/>
      <c r="L94" s="314" t="s">
        <v>233</v>
      </c>
      <c r="M94" s="316" t="s">
        <v>232</v>
      </c>
      <c r="N94" s="317" t="s">
        <v>1319</v>
      </c>
      <c r="O94" s="317">
        <v>97.724483</v>
      </c>
      <c r="P94" s="317">
        <v>24.205417</v>
      </c>
      <c r="Q94" s="315">
        <v>47</v>
      </c>
      <c r="R94" s="315">
        <v>258</v>
      </c>
      <c r="S94" s="1">
        <f>Table_CampList[[#This Row],[Total]]/Table_CampList[[#This Row],[HH]]</f>
        <v>5.48936170212766</v>
      </c>
      <c r="T94" s="313" t="s">
        <v>960</v>
      </c>
      <c r="U94" s="318"/>
      <c r="V94" s="318"/>
      <c r="W94" s="318"/>
      <c r="X94" s="318"/>
      <c r="Y94" s="318"/>
      <c r="Z94" s="318"/>
      <c r="AA94" s="318"/>
      <c r="AB94" s="318"/>
      <c r="AC94" s="318"/>
      <c r="AD94" s="318"/>
      <c r="AE94" s="318"/>
      <c r="AF94" s="318"/>
      <c r="AG94" s="318"/>
    </row>
    <row r="95" spans="1:33" s="308" customFormat="1" ht="15">
      <c r="A95" s="312">
        <v>124</v>
      </c>
      <c r="C95" s="313" t="s">
        <v>1076</v>
      </c>
      <c r="D95" s="308" t="s">
        <v>433</v>
      </c>
      <c r="F95" s="314" t="s">
        <v>189</v>
      </c>
      <c r="J95" s="315"/>
      <c r="K95" s="315"/>
      <c r="L95" s="314" t="s">
        <v>225</v>
      </c>
      <c r="M95" s="316" t="s">
        <v>224</v>
      </c>
      <c r="N95" s="317" t="s">
        <v>1319</v>
      </c>
      <c r="O95" s="317">
        <v>97.42986</v>
      </c>
      <c r="P95" s="317">
        <v>24.63086</v>
      </c>
      <c r="Q95" s="315">
        <v>31</v>
      </c>
      <c r="R95" s="315">
        <v>147</v>
      </c>
      <c r="S95" s="1">
        <f>Table_CampList[[#This Row],[Total]]/Table_CampList[[#This Row],[HH]]</f>
        <v>4.741935483870968</v>
      </c>
      <c r="T95" s="313" t="s">
        <v>1320</v>
      </c>
      <c r="U95" s="318"/>
      <c r="V95" s="318"/>
      <c r="W95" s="318"/>
      <c r="X95" s="318"/>
      <c r="Y95" s="318"/>
      <c r="Z95" s="318"/>
      <c r="AA95" s="318"/>
      <c r="AB95" s="318"/>
      <c r="AC95" s="318"/>
      <c r="AD95" s="318"/>
      <c r="AE95" s="318"/>
      <c r="AF95" s="318"/>
      <c r="AG95" s="318"/>
    </row>
    <row r="96" spans="1:33" s="308" customFormat="1" ht="15">
      <c r="A96" s="312">
        <v>125</v>
      </c>
      <c r="C96" s="313" t="s">
        <v>1076</v>
      </c>
      <c r="D96" s="308" t="s">
        <v>433</v>
      </c>
      <c r="F96" s="314" t="s">
        <v>189</v>
      </c>
      <c r="J96" s="315"/>
      <c r="K96" s="315"/>
      <c r="L96" s="314" t="s">
        <v>229</v>
      </c>
      <c r="M96" s="316" t="s">
        <v>228</v>
      </c>
      <c r="N96" s="317" t="s">
        <v>1319</v>
      </c>
      <c r="O96" s="317">
        <v>24.207333</v>
      </c>
      <c r="P96" s="317">
        <v>97.710864</v>
      </c>
      <c r="Q96" s="315">
        <v>32</v>
      </c>
      <c r="R96" s="315">
        <v>173</v>
      </c>
      <c r="S96" s="1">
        <f>Table_CampList[[#This Row],[Total]]/Table_CampList[[#This Row],[HH]]</f>
        <v>5.40625</v>
      </c>
      <c r="T96" s="313" t="s">
        <v>1326</v>
      </c>
      <c r="U96" s="318"/>
      <c r="V96" s="318"/>
      <c r="W96" s="318"/>
      <c r="X96" s="318"/>
      <c r="Y96" s="318"/>
      <c r="Z96" s="318"/>
      <c r="AA96" s="318"/>
      <c r="AB96" s="318"/>
      <c r="AC96" s="318"/>
      <c r="AD96" s="318"/>
      <c r="AE96" s="318"/>
      <c r="AF96" s="318"/>
      <c r="AG96" s="318"/>
    </row>
    <row r="97" spans="1:33" s="308" customFormat="1" ht="15">
      <c r="A97" s="312">
        <v>126</v>
      </c>
      <c r="C97" s="313" t="s">
        <v>1076</v>
      </c>
      <c r="D97" s="308" t="s">
        <v>433</v>
      </c>
      <c r="F97" s="314" t="s">
        <v>189</v>
      </c>
      <c r="J97" s="315"/>
      <c r="K97" s="315"/>
      <c r="L97" s="314" t="s">
        <v>231</v>
      </c>
      <c r="M97" s="316" t="s">
        <v>230</v>
      </c>
      <c r="N97" s="317" t="s">
        <v>1319</v>
      </c>
      <c r="O97" s="319"/>
      <c r="P97" s="319"/>
      <c r="Q97" s="315">
        <v>10</v>
      </c>
      <c r="R97" s="315">
        <v>38</v>
      </c>
      <c r="S97" s="1">
        <f>Table_CampList[[#This Row],[Total]]/Table_CampList[[#This Row],[HH]]</f>
        <v>3.8</v>
      </c>
      <c r="T97" s="313" t="s">
        <v>1320</v>
      </c>
      <c r="U97" s="318"/>
      <c r="V97" s="318"/>
      <c r="W97" s="318"/>
      <c r="X97" s="318"/>
      <c r="Y97" s="318"/>
      <c r="Z97" s="318"/>
      <c r="AA97" s="318"/>
      <c r="AB97" s="318"/>
      <c r="AC97" s="318"/>
      <c r="AD97" s="318"/>
      <c r="AE97" s="318"/>
      <c r="AF97" s="318"/>
      <c r="AG97" s="318"/>
    </row>
    <row r="98" spans="1:33" s="308" customFormat="1" ht="15">
      <c r="A98" s="312">
        <v>128</v>
      </c>
      <c r="C98" s="313" t="s">
        <v>1076</v>
      </c>
      <c r="D98" s="308" t="s">
        <v>433</v>
      </c>
      <c r="F98" s="314" t="s">
        <v>234</v>
      </c>
      <c r="J98" s="315"/>
      <c r="K98" s="315"/>
      <c r="L98" s="314" t="s">
        <v>237</v>
      </c>
      <c r="M98" s="316" t="s">
        <v>236</v>
      </c>
      <c r="N98" s="317" t="s">
        <v>1323</v>
      </c>
      <c r="O98" s="319"/>
      <c r="P98" s="319"/>
      <c r="Q98" s="315">
        <v>53</v>
      </c>
      <c r="R98" s="315">
        <v>192</v>
      </c>
      <c r="S98" s="1">
        <f>Table_CampList[[#This Row],[Total]]/Table_CampList[[#This Row],[HH]]</f>
        <v>3.6226415094339623</v>
      </c>
      <c r="T98" s="313" t="s">
        <v>996</v>
      </c>
      <c r="U98" s="318"/>
      <c r="V98" s="318"/>
      <c r="W98" s="318"/>
      <c r="X98" s="318"/>
      <c r="Y98" s="318"/>
      <c r="Z98" s="318"/>
      <c r="AA98" s="318"/>
      <c r="AB98" s="318"/>
      <c r="AC98" s="318"/>
      <c r="AD98" s="318"/>
      <c r="AE98" s="318"/>
      <c r="AF98" s="318"/>
      <c r="AG98" s="318"/>
    </row>
    <row r="99" spans="1:33" s="308" customFormat="1" ht="15">
      <c r="A99" s="312">
        <v>129</v>
      </c>
      <c r="C99" s="313" t="s">
        <v>1076</v>
      </c>
      <c r="D99" s="308" t="s">
        <v>433</v>
      </c>
      <c r="F99" s="314" t="s">
        <v>234</v>
      </c>
      <c r="J99" s="315"/>
      <c r="K99" s="315"/>
      <c r="L99" s="314" t="s">
        <v>235</v>
      </c>
      <c r="M99" s="316" t="s">
        <v>442</v>
      </c>
      <c r="N99" s="317" t="s">
        <v>1323</v>
      </c>
      <c r="O99" s="317">
        <v>98.11581</v>
      </c>
      <c r="P99" s="317">
        <v>24.08738</v>
      </c>
      <c r="Q99" s="315">
        <v>32</v>
      </c>
      <c r="R99" s="315">
        <v>187</v>
      </c>
      <c r="S99" s="1">
        <f>Table_CampList[[#This Row],[Total]]/Table_CampList[[#This Row],[HH]]</f>
        <v>5.84375</v>
      </c>
      <c r="T99" s="313" t="s">
        <v>1320</v>
      </c>
      <c r="U99" s="318"/>
      <c r="V99" s="318"/>
      <c r="W99" s="318"/>
      <c r="X99" s="318"/>
      <c r="Y99" s="318"/>
      <c r="Z99" s="318"/>
      <c r="AA99" s="318"/>
      <c r="AB99" s="318"/>
      <c r="AC99" s="318"/>
      <c r="AD99" s="318"/>
      <c r="AE99" s="318"/>
      <c r="AF99" s="318"/>
      <c r="AG99" s="318"/>
    </row>
    <row r="100" spans="1:33" s="308" customFormat="1" ht="15">
      <c r="A100" s="312">
        <v>130</v>
      </c>
      <c r="C100" s="313" t="s">
        <v>1076</v>
      </c>
      <c r="D100" s="308" t="s">
        <v>433</v>
      </c>
      <c r="F100" s="314" t="s">
        <v>234</v>
      </c>
      <c r="J100" s="315"/>
      <c r="K100" s="315"/>
      <c r="L100" s="314" t="s">
        <v>239</v>
      </c>
      <c r="M100" s="316" t="s">
        <v>238</v>
      </c>
      <c r="N100" s="317" t="s">
        <v>1323</v>
      </c>
      <c r="O100" s="320"/>
      <c r="P100" s="320"/>
      <c r="Q100" s="315">
        <v>123</v>
      </c>
      <c r="R100" s="315">
        <v>503</v>
      </c>
      <c r="S100" s="1">
        <f>Table_CampList[[#This Row],[Total]]/Table_CampList[[#This Row],[HH]]</f>
        <v>4.0894308943089435</v>
      </c>
      <c r="T100" s="313" t="s">
        <v>996</v>
      </c>
      <c r="U100" s="318"/>
      <c r="V100" s="318"/>
      <c r="W100" s="318"/>
      <c r="X100" s="318"/>
      <c r="Y100" s="318"/>
      <c r="Z100" s="318"/>
      <c r="AA100" s="318"/>
      <c r="AB100" s="318"/>
      <c r="AC100" s="318"/>
      <c r="AD100" s="318"/>
      <c r="AE100" s="318"/>
      <c r="AF100" s="318"/>
      <c r="AG100" s="318"/>
    </row>
    <row r="101" spans="1:33" s="308" customFormat="1" ht="15">
      <c r="A101" s="312">
        <v>131</v>
      </c>
      <c r="C101" s="313" t="s">
        <v>1076</v>
      </c>
      <c r="D101" s="308" t="s">
        <v>433</v>
      </c>
      <c r="F101" s="314" t="s">
        <v>241</v>
      </c>
      <c r="J101" s="315"/>
      <c r="K101" s="315"/>
      <c r="L101" s="314" t="s">
        <v>248</v>
      </c>
      <c r="M101" s="316" t="s">
        <v>247</v>
      </c>
      <c r="N101" s="317" t="s">
        <v>1319</v>
      </c>
      <c r="O101" s="317">
        <v>97.385101</v>
      </c>
      <c r="P101" s="317">
        <v>25.399796</v>
      </c>
      <c r="Q101" s="315">
        <v>6</v>
      </c>
      <c r="R101" s="315">
        <v>36</v>
      </c>
      <c r="S101" s="1">
        <f>Table_CampList[[#This Row],[Total]]/Table_CampList[[#This Row],[HH]]</f>
        <v>6</v>
      </c>
      <c r="T101" s="313" t="s">
        <v>1320</v>
      </c>
      <c r="U101" s="318"/>
      <c r="V101" s="318"/>
      <c r="W101" s="318"/>
      <c r="X101" s="318"/>
      <c r="Y101" s="318"/>
      <c r="Z101" s="318"/>
      <c r="AA101" s="318"/>
      <c r="AB101" s="318"/>
      <c r="AC101" s="318"/>
      <c r="AD101" s="318"/>
      <c r="AE101" s="318"/>
      <c r="AF101" s="318"/>
      <c r="AG101" s="318"/>
    </row>
    <row r="102" spans="1:33" s="308" customFormat="1" ht="15">
      <c r="A102" s="312">
        <v>132</v>
      </c>
      <c r="C102" s="313" t="s">
        <v>1076</v>
      </c>
      <c r="D102" s="308" t="s">
        <v>433</v>
      </c>
      <c r="F102" s="314" t="s">
        <v>241</v>
      </c>
      <c r="J102" s="315"/>
      <c r="K102" s="315"/>
      <c r="L102" s="314" t="s">
        <v>250</v>
      </c>
      <c r="M102" s="316" t="s">
        <v>249</v>
      </c>
      <c r="N102" s="317" t="s">
        <v>1319</v>
      </c>
      <c r="O102" s="317">
        <v>97.383057</v>
      </c>
      <c r="P102" s="317">
        <v>25.395994</v>
      </c>
      <c r="Q102" s="315">
        <v>8</v>
      </c>
      <c r="R102" s="315">
        <v>26</v>
      </c>
      <c r="S102" s="1">
        <f>Table_CampList[[#This Row],[Total]]/Table_CampList[[#This Row],[HH]]</f>
        <v>3.25</v>
      </c>
      <c r="T102" s="313" t="s">
        <v>996</v>
      </c>
      <c r="U102" s="318"/>
      <c r="V102" s="318"/>
      <c r="W102" s="318"/>
      <c r="X102" s="318"/>
      <c r="Y102" s="318"/>
      <c r="Z102" s="318"/>
      <c r="AA102" s="318"/>
      <c r="AB102" s="318"/>
      <c r="AC102" s="318"/>
      <c r="AD102" s="318"/>
      <c r="AE102" s="318"/>
      <c r="AF102" s="318"/>
      <c r="AG102" s="318"/>
    </row>
    <row r="103" spans="1:33" s="308" customFormat="1" ht="15">
      <c r="A103" s="312">
        <v>133</v>
      </c>
      <c r="C103" s="313" t="s">
        <v>1076</v>
      </c>
      <c r="D103" s="308" t="s">
        <v>433</v>
      </c>
      <c r="F103" s="314" t="s">
        <v>241</v>
      </c>
      <c r="J103" s="315"/>
      <c r="K103" s="315"/>
      <c r="L103" s="314" t="s">
        <v>252</v>
      </c>
      <c r="M103" s="316" t="s">
        <v>251</v>
      </c>
      <c r="N103" s="317" t="s">
        <v>1319</v>
      </c>
      <c r="O103" s="317">
        <v>97.381195</v>
      </c>
      <c r="P103" s="317">
        <v>25.396364</v>
      </c>
      <c r="Q103" s="315">
        <v>6</v>
      </c>
      <c r="R103" s="315">
        <v>32</v>
      </c>
      <c r="S103" s="1">
        <f>Table_CampList[[#This Row],[Total]]/Table_CampList[[#This Row],[HH]]</f>
        <v>5.333333333333333</v>
      </c>
      <c r="T103" s="313" t="s">
        <v>1320</v>
      </c>
      <c r="U103" s="318"/>
      <c r="V103" s="318"/>
      <c r="W103" s="318"/>
      <c r="X103" s="318"/>
      <c r="Y103" s="318"/>
      <c r="Z103" s="318"/>
      <c r="AA103" s="318"/>
      <c r="AB103" s="318"/>
      <c r="AC103" s="318"/>
      <c r="AD103" s="318"/>
      <c r="AE103" s="318"/>
      <c r="AF103" s="318"/>
      <c r="AG103" s="318"/>
    </row>
    <row r="104" spans="1:33" s="308" customFormat="1" ht="15">
      <c r="A104" s="312">
        <v>134</v>
      </c>
      <c r="C104" s="313" t="s">
        <v>1076</v>
      </c>
      <c r="D104" s="308" t="s">
        <v>433</v>
      </c>
      <c r="F104" s="314" t="s">
        <v>241</v>
      </c>
      <c r="J104" s="315"/>
      <c r="K104" s="315"/>
      <c r="L104" s="314" t="s">
        <v>258</v>
      </c>
      <c r="M104" s="316" t="s">
        <v>257</v>
      </c>
      <c r="N104" s="317" t="s">
        <v>1319</v>
      </c>
      <c r="O104" s="317">
        <v>97.389778</v>
      </c>
      <c r="P104" s="317">
        <v>25.417734</v>
      </c>
      <c r="Q104" s="315">
        <v>203</v>
      </c>
      <c r="R104" s="315">
        <v>952</v>
      </c>
      <c r="S104" s="1">
        <f>Table_CampList[[#This Row],[Total]]/Table_CampList[[#This Row],[HH]]</f>
        <v>4.689655172413793</v>
      </c>
      <c r="T104" s="313" t="s">
        <v>1327</v>
      </c>
      <c r="U104" s="318"/>
      <c r="V104" s="318"/>
      <c r="W104" s="318"/>
      <c r="X104" s="318"/>
      <c r="Y104" s="318"/>
      <c r="Z104" s="318"/>
      <c r="AA104" s="318"/>
      <c r="AB104" s="318"/>
      <c r="AC104" s="318"/>
      <c r="AD104" s="318"/>
      <c r="AE104" s="318"/>
      <c r="AF104" s="318"/>
      <c r="AG104" s="318"/>
    </row>
    <row r="105" spans="1:33" s="308" customFormat="1" ht="15">
      <c r="A105" s="312">
        <v>135</v>
      </c>
      <c r="C105" s="313" t="s">
        <v>1076</v>
      </c>
      <c r="D105" s="308" t="s">
        <v>433</v>
      </c>
      <c r="F105" s="314" t="s">
        <v>241</v>
      </c>
      <c r="J105" s="315"/>
      <c r="K105" s="315"/>
      <c r="L105" s="314" t="s">
        <v>260</v>
      </c>
      <c r="M105" s="316" t="s">
        <v>259</v>
      </c>
      <c r="N105" s="317" t="s">
        <v>1319</v>
      </c>
      <c r="O105" s="317">
        <v>97.373361</v>
      </c>
      <c r="P105" s="317">
        <v>25.403477</v>
      </c>
      <c r="Q105" s="315">
        <v>110</v>
      </c>
      <c r="R105" s="315">
        <v>460</v>
      </c>
      <c r="S105" s="1">
        <f>Table_CampList[[#This Row],[Total]]/Table_CampList[[#This Row],[HH]]</f>
        <v>4.181818181818182</v>
      </c>
      <c r="T105" s="313" t="s">
        <v>1320</v>
      </c>
      <c r="U105" s="318"/>
      <c r="V105" s="318"/>
      <c r="W105" s="318"/>
      <c r="X105" s="318"/>
      <c r="Y105" s="318"/>
      <c r="Z105" s="318"/>
      <c r="AA105" s="318"/>
      <c r="AB105" s="318"/>
      <c r="AC105" s="318"/>
      <c r="AD105" s="318"/>
      <c r="AE105" s="318"/>
      <c r="AF105" s="318"/>
      <c r="AG105" s="318"/>
    </row>
    <row r="106" spans="1:33" s="308" customFormat="1" ht="15">
      <c r="A106" s="312">
        <v>136</v>
      </c>
      <c r="C106" s="313" t="s">
        <v>1076</v>
      </c>
      <c r="D106" s="308" t="s">
        <v>433</v>
      </c>
      <c r="F106" s="314" t="s">
        <v>241</v>
      </c>
      <c r="J106" s="315"/>
      <c r="K106" s="315"/>
      <c r="L106" s="314" t="s">
        <v>262</v>
      </c>
      <c r="M106" s="316" t="s">
        <v>261</v>
      </c>
      <c r="N106" s="317" t="s">
        <v>1319</v>
      </c>
      <c r="O106" s="317">
        <v>97.405121</v>
      </c>
      <c r="P106" s="317">
        <v>25.365891</v>
      </c>
      <c r="Q106" s="315">
        <v>53</v>
      </c>
      <c r="R106" s="315">
        <v>215</v>
      </c>
      <c r="S106" s="1">
        <f>Table_CampList[[#This Row],[Total]]/Table_CampList[[#This Row],[HH]]</f>
        <v>4.056603773584905</v>
      </c>
      <c r="T106" s="313" t="s">
        <v>996</v>
      </c>
      <c r="U106" s="318"/>
      <c r="V106" s="318"/>
      <c r="W106" s="318"/>
      <c r="X106" s="318"/>
      <c r="Y106" s="318"/>
      <c r="Z106" s="318"/>
      <c r="AA106" s="318"/>
      <c r="AB106" s="318"/>
      <c r="AC106" s="318"/>
      <c r="AD106" s="318"/>
      <c r="AE106" s="318"/>
      <c r="AF106" s="318"/>
      <c r="AG106" s="318"/>
    </row>
    <row r="107" spans="1:33" s="308" customFormat="1" ht="15">
      <c r="A107" s="312">
        <v>137</v>
      </c>
      <c r="C107" s="313" t="s">
        <v>1076</v>
      </c>
      <c r="D107" s="308" t="s">
        <v>433</v>
      </c>
      <c r="F107" s="314" t="s">
        <v>241</v>
      </c>
      <c r="J107" s="315"/>
      <c r="K107" s="315"/>
      <c r="L107" s="314" t="s">
        <v>244</v>
      </c>
      <c r="M107" s="316" t="s">
        <v>243</v>
      </c>
      <c r="N107" s="317" t="s">
        <v>1319</v>
      </c>
      <c r="O107" s="317">
        <v>97.409317</v>
      </c>
      <c r="P107" s="317">
        <v>25.36219</v>
      </c>
      <c r="Q107" s="315">
        <v>84</v>
      </c>
      <c r="R107" s="315">
        <v>440</v>
      </c>
      <c r="S107" s="1">
        <f>Table_CampList[[#This Row],[Total]]/Table_CampList[[#This Row],[HH]]</f>
        <v>5.238095238095238</v>
      </c>
      <c r="T107" s="313" t="s">
        <v>996</v>
      </c>
      <c r="U107" s="318"/>
      <c r="V107" s="318"/>
      <c r="W107" s="318"/>
      <c r="X107" s="318"/>
      <c r="Y107" s="318"/>
      <c r="Z107" s="318"/>
      <c r="AA107" s="318"/>
      <c r="AB107" s="318"/>
      <c r="AC107" s="318"/>
      <c r="AD107" s="318"/>
      <c r="AE107" s="318"/>
      <c r="AF107" s="318"/>
      <c r="AG107" s="318"/>
    </row>
    <row r="108" spans="1:33" s="308" customFormat="1" ht="15">
      <c r="A108" s="312">
        <v>138</v>
      </c>
      <c r="C108" s="313" t="s">
        <v>1076</v>
      </c>
      <c r="D108" s="308" t="s">
        <v>433</v>
      </c>
      <c r="F108" s="314" t="s">
        <v>241</v>
      </c>
      <c r="J108" s="315"/>
      <c r="K108" s="315"/>
      <c r="L108" s="314" t="s">
        <v>290</v>
      </c>
      <c r="M108" s="316" t="s">
        <v>289</v>
      </c>
      <c r="N108" s="317" t="s">
        <v>1319</v>
      </c>
      <c r="O108" s="317">
        <v>97.40892</v>
      </c>
      <c r="P108" s="317">
        <v>25.355984</v>
      </c>
      <c r="Q108" s="315">
        <v>151</v>
      </c>
      <c r="R108" s="315">
        <v>743</v>
      </c>
      <c r="S108" s="1">
        <f>Table_CampList[[#This Row],[Total]]/Table_CampList[[#This Row],[HH]]</f>
        <v>4.920529801324503</v>
      </c>
      <c r="T108" s="313" t="s">
        <v>996</v>
      </c>
      <c r="U108" s="318"/>
      <c r="V108" s="318"/>
      <c r="W108" s="318"/>
      <c r="X108" s="318"/>
      <c r="Y108" s="318"/>
      <c r="Z108" s="318"/>
      <c r="AA108" s="318"/>
      <c r="AB108" s="318"/>
      <c r="AC108" s="318"/>
      <c r="AD108" s="318"/>
      <c r="AE108" s="318"/>
      <c r="AF108" s="318"/>
      <c r="AG108" s="318"/>
    </row>
    <row r="109" spans="1:33" s="308" customFormat="1" ht="15">
      <c r="A109" s="312">
        <v>139</v>
      </c>
      <c r="C109" s="313" t="s">
        <v>1076</v>
      </c>
      <c r="D109" s="308" t="s">
        <v>433</v>
      </c>
      <c r="F109" s="314" t="s">
        <v>241</v>
      </c>
      <c r="J109" s="315"/>
      <c r="K109" s="315"/>
      <c r="L109" s="314" t="s">
        <v>264</v>
      </c>
      <c r="M109" s="316" t="s">
        <v>263</v>
      </c>
      <c r="N109" s="317" t="s">
        <v>1319</v>
      </c>
      <c r="O109" s="317">
        <v>97.411606</v>
      </c>
      <c r="P109" s="317">
        <v>25.360476</v>
      </c>
      <c r="Q109" s="315">
        <v>77</v>
      </c>
      <c r="R109" s="315">
        <v>329</v>
      </c>
      <c r="S109" s="1">
        <f>Table_CampList[[#This Row],[Total]]/Table_CampList[[#This Row],[HH]]</f>
        <v>4.2727272727272725</v>
      </c>
      <c r="T109" s="313" t="s">
        <v>996</v>
      </c>
      <c r="U109" s="318"/>
      <c r="V109" s="318"/>
      <c r="W109" s="318"/>
      <c r="X109" s="318"/>
      <c r="Y109" s="318"/>
      <c r="Z109" s="318"/>
      <c r="AA109" s="318"/>
      <c r="AB109" s="318"/>
      <c r="AC109" s="318"/>
      <c r="AD109" s="318"/>
      <c r="AE109" s="318"/>
      <c r="AF109" s="318"/>
      <c r="AG109" s="318"/>
    </row>
    <row r="110" spans="1:33" s="308" customFormat="1" ht="15">
      <c r="A110" s="312">
        <v>140</v>
      </c>
      <c r="C110" s="313" t="s">
        <v>1076</v>
      </c>
      <c r="D110" s="308" t="s">
        <v>433</v>
      </c>
      <c r="F110" s="314" t="s">
        <v>241</v>
      </c>
      <c r="J110" s="315"/>
      <c r="K110" s="315"/>
      <c r="L110" s="314" t="s">
        <v>266</v>
      </c>
      <c r="M110" s="316" t="s">
        <v>265</v>
      </c>
      <c r="N110" s="317" t="s">
        <v>1319</v>
      </c>
      <c r="O110" s="317">
        <v>97.418694</v>
      </c>
      <c r="P110" s="317">
        <v>25.428911</v>
      </c>
      <c r="Q110" s="315">
        <v>88</v>
      </c>
      <c r="R110" s="315">
        <v>370</v>
      </c>
      <c r="S110" s="1">
        <f>Table_CampList[[#This Row],[Total]]/Table_CampList[[#This Row],[HH]]</f>
        <v>4.204545454545454</v>
      </c>
      <c r="T110" s="313" t="s">
        <v>996</v>
      </c>
      <c r="U110" s="318"/>
      <c r="V110" s="318"/>
      <c r="W110" s="318"/>
      <c r="X110" s="318"/>
      <c r="Y110" s="318"/>
      <c r="Z110" s="318"/>
      <c r="AA110" s="318"/>
      <c r="AB110" s="318"/>
      <c r="AC110" s="318"/>
      <c r="AD110" s="318"/>
      <c r="AE110" s="318"/>
      <c r="AF110" s="318"/>
      <c r="AG110" s="318"/>
    </row>
    <row r="111" spans="1:33" s="308" customFormat="1" ht="15">
      <c r="A111" s="312">
        <v>141</v>
      </c>
      <c r="C111" s="313" t="s">
        <v>1076</v>
      </c>
      <c r="D111" s="308" t="s">
        <v>433</v>
      </c>
      <c r="F111" s="314" t="s">
        <v>241</v>
      </c>
      <c r="J111" s="315"/>
      <c r="K111" s="315"/>
      <c r="L111" s="314" t="s">
        <v>268</v>
      </c>
      <c r="M111" s="316" t="s">
        <v>267</v>
      </c>
      <c r="N111" s="317" t="s">
        <v>1319</v>
      </c>
      <c r="O111" s="317">
        <v>97.28473</v>
      </c>
      <c r="P111" s="317">
        <v>25.37402</v>
      </c>
      <c r="Q111" s="315">
        <v>26</v>
      </c>
      <c r="R111" s="315">
        <v>102</v>
      </c>
      <c r="S111" s="1">
        <f>Table_CampList[[#This Row],[Total]]/Table_CampList[[#This Row],[HH]]</f>
        <v>3.923076923076923</v>
      </c>
      <c r="T111" s="313" t="s">
        <v>1262</v>
      </c>
      <c r="U111" s="318"/>
      <c r="V111" s="318"/>
      <c r="W111" s="318"/>
      <c r="X111" s="318"/>
      <c r="Y111" s="318"/>
      <c r="Z111" s="318"/>
      <c r="AA111" s="318"/>
      <c r="AB111" s="318"/>
      <c r="AC111" s="318"/>
      <c r="AD111" s="318"/>
      <c r="AE111" s="318"/>
      <c r="AF111" s="318"/>
      <c r="AG111" s="318"/>
    </row>
    <row r="112" spans="1:33" s="308" customFormat="1" ht="15">
      <c r="A112" s="312">
        <v>142</v>
      </c>
      <c r="C112" s="313" t="s">
        <v>1076</v>
      </c>
      <c r="D112" s="308" t="s">
        <v>433</v>
      </c>
      <c r="F112" s="314" t="s">
        <v>241</v>
      </c>
      <c r="J112" s="315"/>
      <c r="K112" s="315"/>
      <c r="L112" s="314" t="s">
        <v>270</v>
      </c>
      <c r="M112" s="316" t="s">
        <v>269</v>
      </c>
      <c r="N112" s="317" t="s">
        <v>1319</v>
      </c>
      <c r="O112" s="317">
        <v>97.29108</v>
      </c>
      <c r="P112" s="317">
        <v>25.37118</v>
      </c>
      <c r="Q112" s="315">
        <v>20</v>
      </c>
      <c r="R112" s="315">
        <v>99</v>
      </c>
      <c r="S112" s="1">
        <f>Table_CampList[[#This Row],[Total]]/Table_CampList[[#This Row],[HH]]</f>
        <v>4.95</v>
      </c>
      <c r="T112" s="313" t="s">
        <v>1262</v>
      </c>
      <c r="U112" s="318"/>
      <c r="V112" s="318"/>
      <c r="W112" s="318"/>
      <c r="X112" s="318"/>
      <c r="Y112" s="318"/>
      <c r="Z112" s="318"/>
      <c r="AA112" s="318"/>
      <c r="AB112" s="318"/>
      <c r="AC112" s="318"/>
      <c r="AD112" s="318"/>
      <c r="AE112" s="318"/>
      <c r="AF112" s="318"/>
      <c r="AG112" s="318"/>
    </row>
    <row r="113" spans="1:33" s="308" customFormat="1" ht="15">
      <c r="A113" s="312">
        <v>143</v>
      </c>
      <c r="C113" s="313" t="s">
        <v>1076</v>
      </c>
      <c r="D113" s="308" t="s">
        <v>433</v>
      </c>
      <c r="F113" s="314" t="s">
        <v>241</v>
      </c>
      <c r="J113" s="315"/>
      <c r="K113" s="315"/>
      <c r="L113" s="314" t="s">
        <v>272</v>
      </c>
      <c r="M113" s="316" t="s">
        <v>271</v>
      </c>
      <c r="N113" s="317" t="s">
        <v>1319</v>
      </c>
      <c r="O113" s="317">
        <v>97.376672</v>
      </c>
      <c r="P113" s="317">
        <v>25.387863</v>
      </c>
      <c r="Q113" s="315">
        <v>12</v>
      </c>
      <c r="R113" s="315">
        <v>53</v>
      </c>
      <c r="S113" s="1">
        <f>Table_CampList[[#This Row],[Total]]/Table_CampList[[#This Row],[HH]]</f>
        <v>4.416666666666667</v>
      </c>
      <c r="T113" s="313" t="s">
        <v>1262</v>
      </c>
      <c r="U113" s="318"/>
      <c r="V113" s="318"/>
      <c r="W113" s="318"/>
      <c r="X113" s="318"/>
      <c r="Y113" s="318"/>
      <c r="Z113" s="318"/>
      <c r="AA113" s="318"/>
      <c r="AB113" s="318"/>
      <c r="AC113" s="318"/>
      <c r="AD113" s="318"/>
      <c r="AE113" s="318"/>
      <c r="AF113" s="318"/>
      <c r="AG113" s="318"/>
    </row>
    <row r="114" spans="1:33" s="308" customFormat="1" ht="15">
      <c r="A114" s="312">
        <v>144</v>
      </c>
      <c r="C114" s="313" t="s">
        <v>1076</v>
      </c>
      <c r="D114" s="308" t="s">
        <v>433</v>
      </c>
      <c r="F114" s="314" t="s">
        <v>241</v>
      </c>
      <c r="J114" s="315"/>
      <c r="K114" s="315"/>
      <c r="L114" s="314" t="s">
        <v>276</v>
      </c>
      <c r="M114" s="316" t="s">
        <v>275</v>
      </c>
      <c r="N114" s="317" t="s">
        <v>1319</v>
      </c>
      <c r="O114" s="317">
        <v>97.35938</v>
      </c>
      <c r="P114" s="317">
        <v>25.41177</v>
      </c>
      <c r="Q114" s="315">
        <v>73</v>
      </c>
      <c r="R114" s="315">
        <v>318</v>
      </c>
      <c r="S114" s="1">
        <f>Table_CampList[[#This Row],[Total]]/Table_CampList[[#This Row],[HH]]</f>
        <v>4.3561643835616435</v>
      </c>
      <c r="T114" s="313" t="s">
        <v>1320</v>
      </c>
      <c r="U114" s="318"/>
      <c r="V114" s="318"/>
      <c r="W114" s="318"/>
      <c r="X114" s="318"/>
      <c r="Y114" s="318"/>
      <c r="Z114" s="318"/>
      <c r="AA114" s="318"/>
      <c r="AB114" s="318"/>
      <c r="AC114" s="318"/>
      <c r="AD114" s="318"/>
      <c r="AE114" s="318"/>
      <c r="AF114" s="318"/>
      <c r="AG114" s="318"/>
    </row>
    <row r="115" spans="1:33" s="308" customFormat="1" ht="15">
      <c r="A115" s="312">
        <v>145</v>
      </c>
      <c r="C115" s="313" t="s">
        <v>1076</v>
      </c>
      <c r="D115" s="308" t="s">
        <v>433</v>
      </c>
      <c r="F115" s="314" t="s">
        <v>241</v>
      </c>
      <c r="J115" s="315"/>
      <c r="K115" s="315"/>
      <c r="L115" s="314" t="s">
        <v>274</v>
      </c>
      <c r="M115" s="316" t="s">
        <v>273</v>
      </c>
      <c r="N115" s="317" t="s">
        <v>1319</v>
      </c>
      <c r="O115" s="317">
        <v>97.394547</v>
      </c>
      <c r="P115" s="317">
        <v>25.422194</v>
      </c>
      <c r="Q115" s="315">
        <v>58</v>
      </c>
      <c r="R115" s="315">
        <v>238</v>
      </c>
      <c r="S115" s="1">
        <f>Table_CampList[[#This Row],[Total]]/Table_CampList[[#This Row],[HH]]</f>
        <v>4.103448275862069</v>
      </c>
      <c r="T115" s="313" t="s">
        <v>996</v>
      </c>
      <c r="U115" s="318"/>
      <c r="V115" s="318"/>
      <c r="W115" s="318"/>
      <c r="X115" s="318"/>
      <c r="Y115" s="318"/>
      <c r="Z115" s="318"/>
      <c r="AA115" s="318"/>
      <c r="AB115" s="318"/>
      <c r="AC115" s="318"/>
      <c r="AD115" s="318"/>
      <c r="AE115" s="318"/>
      <c r="AF115" s="318"/>
      <c r="AG115" s="318"/>
    </row>
    <row r="116" spans="1:33" s="308" customFormat="1" ht="15">
      <c r="A116" s="312">
        <v>146</v>
      </c>
      <c r="C116" s="313" t="s">
        <v>1076</v>
      </c>
      <c r="D116" s="308" t="s">
        <v>433</v>
      </c>
      <c r="F116" s="314" t="s">
        <v>241</v>
      </c>
      <c r="J116" s="315"/>
      <c r="K116" s="315"/>
      <c r="L116" s="314" t="s">
        <v>278</v>
      </c>
      <c r="M116" s="316" t="s">
        <v>277</v>
      </c>
      <c r="N116" s="317" t="s">
        <v>1319</v>
      </c>
      <c r="O116" s="317">
        <v>97.4345</v>
      </c>
      <c r="P116" s="317">
        <v>25.49382</v>
      </c>
      <c r="Q116" s="315">
        <v>31</v>
      </c>
      <c r="R116" s="315">
        <v>163</v>
      </c>
      <c r="S116" s="1">
        <f>Table_CampList[[#This Row],[Total]]/Table_CampList[[#This Row],[HH]]</f>
        <v>5.258064516129032</v>
      </c>
      <c r="T116" s="313" t="s">
        <v>1320</v>
      </c>
      <c r="U116" s="318"/>
      <c r="V116" s="318"/>
      <c r="W116" s="318"/>
      <c r="X116" s="318"/>
      <c r="Y116" s="318"/>
      <c r="Z116" s="318"/>
      <c r="AA116" s="318"/>
      <c r="AB116" s="318"/>
      <c r="AC116" s="318"/>
      <c r="AD116" s="318"/>
      <c r="AE116" s="318"/>
      <c r="AF116" s="318"/>
      <c r="AG116" s="318"/>
    </row>
    <row r="117" spans="1:33" s="308" customFormat="1" ht="15">
      <c r="A117" s="312">
        <v>147</v>
      </c>
      <c r="C117" s="313" t="s">
        <v>1076</v>
      </c>
      <c r="D117" s="308" t="s">
        <v>433</v>
      </c>
      <c r="F117" s="314" t="s">
        <v>241</v>
      </c>
      <c r="J117" s="315"/>
      <c r="K117" s="315"/>
      <c r="L117" s="314" t="s">
        <v>282</v>
      </c>
      <c r="M117" s="316" t="s">
        <v>281</v>
      </c>
      <c r="N117" s="317" t="s">
        <v>1319</v>
      </c>
      <c r="O117" s="317">
        <v>97.399628</v>
      </c>
      <c r="P117" s="317">
        <v>25.412313</v>
      </c>
      <c r="Q117" s="315">
        <v>96</v>
      </c>
      <c r="R117" s="315">
        <v>396</v>
      </c>
      <c r="S117" s="1">
        <f>Table_CampList[[#This Row],[Total]]/Table_CampList[[#This Row],[HH]]</f>
        <v>4.125</v>
      </c>
      <c r="T117" s="313" t="s">
        <v>1320</v>
      </c>
      <c r="U117" s="318"/>
      <c r="V117" s="318"/>
      <c r="W117" s="318"/>
      <c r="X117" s="318"/>
      <c r="Y117" s="318"/>
      <c r="Z117" s="318"/>
      <c r="AA117" s="318"/>
      <c r="AB117" s="318"/>
      <c r="AC117" s="318"/>
      <c r="AD117" s="318"/>
      <c r="AE117" s="318"/>
      <c r="AF117" s="318"/>
      <c r="AG117" s="318"/>
    </row>
    <row r="118" spans="1:33" s="308" customFormat="1" ht="15">
      <c r="A118" s="312">
        <v>148</v>
      </c>
      <c r="C118" s="313" t="s">
        <v>1076</v>
      </c>
      <c r="D118" s="308" t="s">
        <v>433</v>
      </c>
      <c r="F118" s="314" t="s">
        <v>241</v>
      </c>
      <c r="J118" s="315"/>
      <c r="K118" s="315"/>
      <c r="L118" s="314" t="s">
        <v>284</v>
      </c>
      <c r="M118" s="316" t="s">
        <v>283</v>
      </c>
      <c r="N118" s="317" t="s">
        <v>1319</v>
      </c>
      <c r="O118" s="317">
        <v>97.418005</v>
      </c>
      <c r="P118" s="317">
        <v>25.423817</v>
      </c>
      <c r="Q118" s="315">
        <v>16</v>
      </c>
      <c r="R118" s="315">
        <v>73</v>
      </c>
      <c r="S118" s="1">
        <f>Table_CampList[[#This Row],[Total]]/Table_CampList[[#This Row],[HH]]</f>
        <v>4.5625</v>
      </c>
      <c r="T118" s="313" t="s">
        <v>1328</v>
      </c>
      <c r="U118" s="318"/>
      <c r="V118" s="318"/>
      <c r="W118" s="318"/>
      <c r="X118" s="318"/>
      <c r="Y118" s="318"/>
      <c r="Z118" s="318"/>
      <c r="AA118" s="318"/>
      <c r="AB118" s="318"/>
      <c r="AC118" s="318"/>
      <c r="AD118" s="318"/>
      <c r="AE118" s="318"/>
      <c r="AF118" s="318"/>
      <c r="AG118" s="318"/>
    </row>
    <row r="119" spans="1:33" s="308" customFormat="1" ht="15">
      <c r="A119" s="312">
        <v>149</v>
      </c>
      <c r="C119" s="313" t="s">
        <v>1076</v>
      </c>
      <c r="D119" s="308" t="s">
        <v>433</v>
      </c>
      <c r="F119" s="314" t="s">
        <v>241</v>
      </c>
      <c r="J119" s="315"/>
      <c r="K119" s="315"/>
      <c r="L119" s="314" t="s">
        <v>286</v>
      </c>
      <c r="M119" s="316" t="s">
        <v>285</v>
      </c>
      <c r="N119" s="317" t="s">
        <v>1319</v>
      </c>
      <c r="O119" s="317">
        <v>97.419403</v>
      </c>
      <c r="P119" s="317">
        <v>25.440928</v>
      </c>
      <c r="Q119" s="315">
        <v>74</v>
      </c>
      <c r="R119" s="315">
        <v>364</v>
      </c>
      <c r="S119" s="1">
        <f>Table_CampList[[#This Row],[Total]]/Table_CampList[[#This Row],[HH]]</f>
        <v>4.918918918918919</v>
      </c>
      <c r="T119" s="313" t="s">
        <v>996</v>
      </c>
      <c r="U119" s="318"/>
      <c r="V119" s="318"/>
      <c r="W119" s="318"/>
      <c r="X119" s="318"/>
      <c r="Y119" s="318"/>
      <c r="Z119" s="318"/>
      <c r="AA119" s="318"/>
      <c r="AB119" s="318"/>
      <c r="AC119" s="318"/>
      <c r="AD119" s="318"/>
      <c r="AE119" s="318"/>
      <c r="AF119" s="318"/>
      <c r="AG119" s="318"/>
    </row>
    <row r="120" spans="1:33" s="308" customFormat="1" ht="15">
      <c r="A120" s="312">
        <v>150</v>
      </c>
      <c r="C120" s="313" t="s">
        <v>1076</v>
      </c>
      <c r="D120" s="308" t="s">
        <v>433</v>
      </c>
      <c r="F120" s="314" t="s">
        <v>241</v>
      </c>
      <c r="J120" s="315"/>
      <c r="K120" s="315"/>
      <c r="L120" s="314" t="s">
        <v>242</v>
      </c>
      <c r="M120" s="316" t="s">
        <v>240</v>
      </c>
      <c r="N120" s="317" t="s">
        <v>1319</v>
      </c>
      <c r="O120" s="317">
        <v>97.386719</v>
      </c>
      <c r="P120" s="317">
        <v>25.415482</v>
      </c>
      <c r="Q120" s="315">
        <v>62</v>
      </c>
      <c r="R120" s="315">
        <v>260</v>
      </c>
      <c r="S120" s="1">
        <f>Table_CampList[[#This Row],[Total]]/Table_CampList[[#This Row],[HH]]</f>
        <v>4.193548387096774</v>
      </c>
      <c r="T120" s="313" t="s">
        <v>996</v>
      </c>
      <c r="U120" s="318"/>
      <c r="V120" s="318"/>
      <c r="W120" s="318"/>
      <c r="X120" s="318"/>
      <c r="Y120" s="318"/>
      <c r="Z120" s="318"/>
      <c r="AA120" s="318"/>
      <c r="AB120" s="318"/>
      <c r="AC120" s="318"/>
      <c r="AD120" s="318"/>
      <c r="AE120" s="318"/>
      <c r="AF120" s="318"/>
      <c r="AG120" s="318"/>
    </row>
    <row r="121" spans="1:33" s="308" customFormat="1" ht="15">
      <c r="A121" s="312">
        <v>151</v>
      </c>
      <c r="C121" s="313" t="s">
        <v>1076</v>
      </c>
      <c r="D121" s="308" t="s">
        <v>433</v>
      </c>
      <c r="F121" s="314" t="s">
        <v>241</v>
      </c>
      <c r="J121" s="315"/>
      <c r="K121" s="315"/>
      <c r="L121" s="314" t="s">
        <v>246</v>
      </c>
      <c r="M121" s="316" t="s">
        <v>245</v>
      </c>
      <c r="N121" s="317" t="s">
        <v>1319</v>
      </c>
      <c r="O121" s="317">
        <v>97.3884</v>
      </c>
      <c r="P121" s="317">
        <v>25.40982</v>
      </c>
      <c r="Q121" s="315">
        <v>69</v>
      </c>
      <c r="R121" s="315">
        <v>322</v>
      </c>
      <c r="S121" s="1">
        <f>Table_CampList[[#This Row],[Total]]/Table_CampList[[#This Row],[HH]]</f>
        <v>4.666666666666667</v>
      </c>
      <c r="T121" s="313" t="s">
        <v>1262</v>
      </c>
      <c r="U121" s="318"/>
      <c r="V121" s="318"/>
      <c r="W121" s="318"/>
      <c r="X121" s="318"/>
      <c r="Y121" s="318"/>
      <c r="Z121" s="318"/>
      <c r="AA121" s="318"/>
      <c r="AB121" s="318"/>
      <c r="AC121" s="318"/>
      <c r="AD121" s="318"/>
      <c r="AE121" s="318"/>
      <c r="AF121" s="318"/>
      <c r="AG121" s="318"/>
    </row>
    <row r="122" spans="1:33" s="308" customFormat="1" ht="15">
      <c r="A122" s="312">
        <v>152</v>
      </c>
      <c r="C122" s="313" t="s">
        <v>1076</v>
      </c>
      <c r="D122" s="308" t="s">
        <v>433</v>
      </c>
      <c r="F122" s="314" t="s">
        <v>241</v>
      </c>
      <c r="J122" s="315"/>
      <c r="K122" s="315"/>
      <c r="L122" s="314" t="s">
        <v>254</v>
      </c>
      <c r="M122" s="316" t="s">
        <v>253</v>
      </c>
      <c r="N122" s="317" t="s">
        <v>1319</v>
      </c>
      <c r="O122" s="317">
        <v>97.379272</v>
      </c>
      <c r="P122" s="317">
        <v>25.401075</v>
      </c>
      <c r="Q122" s="315">
        <v>14</v>
      </c>
      <c r="R122" s="315">
        <v>61</v>
      </c>
      <c r="S122" s="1">
        <f>Table_CampList[[#This Row],[Total]]/Table_CampList[[#This Row],[HH]]</f>
        <v>4.357142857142857</v>
      </c>
      <c r="T122" s="313" t="s">
        <v>1262</v>
      </c>
      <c r="U122" s="318"/>
      <c r="V122" s="318"/>
      <c r="W122" s="318"/>
      <c r="X122" s="318"/>
      <c r="Y122" s="318"/>
      <c r="Z122" s="318"/>
      <c r="AA122" s="318"/>
      <c r="AB122" s="318"/>
      <c r="AC122" s="318"/>
      <c r="AD122" s="318"/>
      <c r="AE122" s="318"/>
      <c r="AF122" s="318"/>
      <c r="AG122" s="318"/>
    </row>
    <row r="123" spans="1:33" s="308" customFormat="1" ht="15">
      <c r="A123" s="312">
        <v>153</v>
      </c>
      <c r="C123" s="313" t="s">
        <v>1076</v>
      </c>
      <c r="D123" s="308" t="s">
        <v>433</v>
      </c>
      <c r="F123" s="314" t="s">
        <v>241</v>
      </c>
      <c r="J123" s="315"/>
      <c r="K123" s="315"/>
      <c r="L123" s="314" t="s">
        <v>256</v>
      </c>
      <c r="M123" s="316" t="s">
        <v>255</v>
      </c>
      <c r="N123" s="317" t="s">
        <v>1319</v>
      </c>
      <c r="O123" s="317">
        <v>97.377663</v>
      </c>
      <c r="P123" s="317">
        <v>25.404753</v>
      </c>
      <c r="Q123" s="315">
        <v>30</v>
      </c>
      <c r="R123" s="315">
        <v>139</v>
      </c>
      <c r="S123" s="1">
        <f>Table_CampList[[#This Row],[Total]]/Table_CampList[[#This Row],[HH]]</f>
        <v>4.633333333333334</v>
      </c>
      <c r="T123" s="313" t="s">
        <v>996</v>
      </c>
      <c r="U123" s="318"/>
      <c r="V123" s="318"/>
      <c r="W123" s="318"/>
      <c r="X123" s="318"/>
      <c r="Y123" s="318"/>
      <c r="Z123" s="318"/>
      <c r="AA123" s="318"/>
      <c r="AB123" s="318"/>
      <c r="AC123" s="318"/>
      <c r="AD123" s="318"/>
      <c r="AE123" s="318"/>
      <c r="AF123" s="318"/>
      <c r="AG123" s="318"/>
    </row>
    <row r="124" spans="1:33" s="308" customFormat="1" ht="15">
      <c r="A124" s="312">
        <v>154</v>
      </c>
      <c r="C124" s="313" t="s">
        <v>1076</v>
      </c>
      <c r="D124" s="308" t="s">
        <v>433</v>
      </c>
      <c r="F124" s="314" t="s">
        <v>241</v>
      </c>
      <c r="J124" s="315"/>
      <c r="K124" s="315"/>
      <c r="L124" s="314" t="s">
        <v>280</v>
      </c>
      <c r="M124" s="316" t="s">
        <v>279</v>
      </c>
      <c r="N124" s="317" t="s">
        <v>1319</v>
      </c>
      <c r="O124" s="317">
        <v>97.382192</v>
      </c>
      <c r="P124" s="317">
        <v>25.404015</v>
      </c>
      <c r="Q124" s="315">
        <v>43</v>
      </c>
      <c r="R124" s="315">
        <v>185</v>
      </c>
      <c r="S124" s="1">
        <f>Table_CampList[[#This Row],[Total]]/Table_CampList[[#This Row],[HH]]</f>
        <v>4.3023255813953485</v>
      </c>
      <c r="T124" s="313" t="s">
        <v>996</v>
      </c>
      <c r="U124" s="318"/>
      <c r="V124" s="318"/>
      <c r="W124" s="318"/>
      <c r="X124" s="318"/>
      <c r="Y124" s="318"/>
      <c r="Z124" s="318"/>
      <c r="AA124" s="318"/>
      <c r="AB124" s="318"/>
      <c r="AC124" s="318"/>
      <c r="AD124" s="318"/>
      <c r="AE124" s="318"/>
      <c r="AF124" s="318"/>
      <c r="AG124" s="318"/>
    </row>
    <row r="125" spans="1:33" s="308" customFormat="1" ht="15">
      <c r="A125" s="312">
        <v>155</v>
      </c>
      <c r="C125" s="313" t="s">
        <v>1076</v>
      </c>
      <c r="D125" s="308" t="s">
        <v>433</v>
      </c>
      <c r="F125" s="314" t="s">
        <v>241</v>
      </c>
      <c r="J125" s="315"/>
      <c r="K125" s="315"/>
      <c r="L125" s="314" t="s">
        <v>288</v>
      </c>
      <c r="M125" s="316" t="s">
        <v>287</v>
      </c>
      <c r="N125" s="317" t="s">
        <v>1319</v>
      </c>
      <c r="O125" s="317">
        <v>97.403408</v>
      </c>
      <c r="P125" s="317">
        <v>25.377546</v>
      </c>
      <c r="Q125" s="315">
        <v>24</v>
      </c>
      <c r="R125" s="315">
        <v>104</v>
      </c>
      <c r="S125" s="1">
        <f>Table_CampList[[#This Row],[Total]]/Table_CampList[[#This Row],[HH]]</f>
        <v>4.333333333333333</v>
      </c>
      <c r="T125" s="313" t="s">
        <v>1262</v>
      </c>
      <c r="U125" s="318"/>
      <c r="V125" s="318"/>
      <c r="W125" s="318"/>
      <c r="X125" s="318"/>
      <c r="Y125" s="318"/>
      <c r="Z125" s="318"/>
      <c r="AA125" s="318"/>
      <c r="AB125" s="318"/>
      <c r="AC125" s="318"/>
      <c r="AD125" s="318"/>
      <c r="AE125" s="318"/>
      <c r="AF125" s="318"/>
      <c r="AG125" s="318"/>
    </row>
    <row r="126" spans="1:33" s="308" customFormat="1" ht="15">
      <c r="A126" s="312">
        <v>156</v>
      </c>
      <c r="C126" s="313" t="s">
        <v>1076</v>
      </c>
      <c r="D126" s="308" t="s">
        <v>433</v>
      </c>
      <c r="F126" s="314" t="s">
        <v>294</v>
      </c>
      <c r="J126" s="315"/>
      <c r="K126" s="315"/>
      <c r="L126" s="314" t="s">
        <v>301</v>
      </c>
      <c r="M126" s="316" t="s">
        <v>443</v>
      </c>
      <c r="N126" s="317" t="s">
        <v>1323</v>
      </c>
      <c r="O126" s="319"/>
      <c r="P126" s="319"/>
      <c r="Q126" s="315" t="s">
        <v>1320</v>
      </c>
      <c r="R126" s="315">
        <v>149</v>
      </c>
      <c r="S126" s="1" t="e">
        <f>Table_CampList[[#This Row],[Total]]/Table_CampList[[#This Row],[HH]]</f>
        <v>#VALUE!</v>
      </c>
      <c r="T126" s="313" t="s">
        <v>1320</v>
      </c>
      <c r="U126" s="318"/>
      <c r="V126" s="318"/>
      <c r="W126" s="318"/>
      <c r="X126" s="318"/>
      <c r="Y126" s="318"/>
      <c r="Z126" s="318"/>
      <c r="AA126" s="318"/>
      <c r="AB126" s="318"/>
      <c r="AC126" s="318"/>
      <c r="AD126" s="318"/>
      <c r="AE126" s="318"/>
      <c r="AF126" s="318"/>
      <c r="AG126" s="318"/>
    </row>
    <row r="127" spans="1:33" s="308" customFormat="1" ht="15">
      <c r="A127" s="312">
        <v>157</v>
      </c>
      <c r="C127" s="313" t="s">
        <v>1076</v>
      </c>
      <c r="D127" s="308" t="s">
        <v>433</v>
      </c>
      <c r="F127" s="314" t="s">
        <v>294</v>
      </c>
      <c r="J127" s="315"/>
      <c r="K127" s="315"/>
      <c r="L127" s="314" t="s">
        <v>299</v>
      </c>
      <c r="M127" s="316" t="s">
        <v>298</v>
      </c>
      <c r="N127" s="317" t="s">
        <v>1323</v>
      </c>
      <c r="O127" s="319"/>
      <c r="P127" s="319"/>
      <c r="Q127" s="315">
        <v>46</v>
      </c>
      <c r="R127" s="315">
        <v>207</v>
      </c>
      <c r="S127" s="1">
        <f>Table_CampList[[#This Row],[Total]]/Table_CampList[[#This Row],[HH]]</f>
        <v>4.5</v>
      </c>
      <c r="T127" s="313" t="s">
        <v>1320</v>
      </c>
      <c r="U127" s="318"/>
      <c r="V127" s="318"/>
      <c r="W127" s="318"/>
      <c r="X127" s="318"/>
      <c r="Y127" s="318"/>
      <c r="Z127" s="318"/>
      <c r="AA127" s="318"/>
      <c r="AB127" s="318"/>
      <c r="AC127" s="318"/>
      <c r="AD127" s="318"/>
      <c r="AE127" s="318"/>
      <c r="AF127" s="318"/>
      <c r="AG127" s="318"/>
    </row>
    <row r="128" spans="1:33" s="308" customFormat="1" ht="15">
      <c r="A128" s="312">
        <v>158</v>
      </c>
      <c r="C128" s="313" t="s">
        <v>1076</v>
      </c>
      <c r="D128" s="308" t="s">
        <v>433</v>
      </c>
      <c r="F128" s="314" t="s">
        <v>294</v>
      </c>
      <c r="J128" s="315"/>
      <c r="K128" s="315"/>
      <c r="L128" s="314" t="s">
        <v>297</v>
      </c>
      <c r="M128" s="316" t="s">
        <v>296</v>
      </c>
      <c r="N128" s="317" t="s">
        <v>1323</v>
      </c>
      <c r="O128" s="319"/>
      <c r="P128" s="319"/>
      <c r="Q128" s="315">
        <v>93</v>
      </c>
      <c r="R128" s="315">
        <v>375</v>
      </c>
      <c r="S128" s="1">
        <f>Table_CampList[[#This Row],[Total]]/Table_CampList[[#This Row],[HH]]</f>
        <v>4.032258064516129</v>
      </c>
      <c r="T128" s="313" t="s">
        <v>996</v>
      </c>
      <c r="U128" s="318"/>
      <c r="V128" s="318"/>
      <c r="W128" s="318"/>
      <c r="X128" s="318"/>
      <c r="Y128" s="318"/>
      <c r="Z128" s="318"/>
      <c r="AA128" s="318"/>
      <c r="AB128" s="318"/>
      <c r="AC128" s="318"/>
      <c r="AD128" s="318"/>
      <c r="AE128" s="318"/>
      <c r="AF128" s="318"/>
      <c r="AG128" s="318"/>
    </row>
    <row r="129" spans="1:33" s="308" customFormat="1" ht="15">
      <c r="A129" s="312">
        <v>159</v>
      </c>
      <c r="C129" s="313" t="s">
        <v>1076</v>
      </c>
      <c r="D129" s="308" t="s">
        <v>433</v>
      </c>
      <c r="F129" s="314" t="s">
        <v>294</v>
      </c>
      <c r="J129" s="315"/>
      <c r="K129" s="315"/>
      <c r="L129" s="314" t="s">
        <v>295</v>
      </c>
      <c r="M129" s="316" t="s">
        <v>293</v>
      </c>
      <c r="N129" s="317" t="s">
        <v>1323</v>
      </c>
      <c r="O129" s="319"/>
      <c r="P129" s="319"/>
      <c r="Q129" s="315">
        <v>98</v>
      </c>
      <c r="R129" s="315">
        <v>444</v>
      </c>
      <c r="S129" s="1">
        <f>Table_CampList[[#This Row],[Total]]/Table_CampList[[#This Row],[HH]]</f>
        <v>4.530612244897959</v>
      </c>
      <c r="T129" s="313" t="s">
        <v>996</v>
      </c>
      <c r="U129" s="318"/>
      <c r="V129" s="318"/>
      <c r="W129" s="318"/>
      <c r="X129" s="318"/>
      <c r="Y129" s="318"/>
      <c r="Z129" s="318"/>
      <c r="AA129" s="318"/>
      <c r="AB129" s="318"/>
      <c r="AC129" s="318"/>
      <c r="AD129" s="318"/>
      <c r="AE129" s="318"/>
      <c r="AF129" s="318"/>
      <c r="AG129" s="318"/>
    </row>
    <row r="130" spans="1:33" s="308" customFormat="1" ht="15">
      <c r="A130" s="312">
        <v>160</v>
      </c>
      <c r="C130" s="313" t="s">
        <v>1076</v>
      </c>
      <c r="D130" s="308" t="s">
        <v>433</v>
      </c>
      <c r="F130" s="314" t="s">
        <v>294</v>
      </c>
      <c r="J130" s="315"/>
      <c r="K130" s="315"/>
      <c r="L130" s="314" t="s">
        <v>426</v>
      </c>
      <c r="M130" s="316" t="s">
        <v>300</v>
      </c>
      <c r="N130" s="317" t="s">
        <v>1323</v>
      </c>
      <c r="O130" s="319"/>
      <c r="P130" s="319"/>
      <c r="Q130" s="315">
        <v>47</v>
      </c>
      <c r="R130" s="315">
        <v>192</v>
      </c>
      <c r="S130" s="1">
        <f>Table_CampList[[#This Row],[Total]]/Table_CampList[[#This Row],[HH]]</f>
        <v>4.085106382978723</v>
      </c>
      <c r="T130" s="313" t="s">
        <v>995</v>
      </c>
      <c r="U130" s="318"/>
      <c r="V130" s="318"/>
      <c r="W130" s="318"/>
      <c r="X130" s="318"/>
      <c r="Y130" s="318"/>
      <c r="Z130" s="318"/>
      <c r="AA130" s="318"/>
      <c r="AB130" s="318"/>
      <c r="AC130" s="318"/>
      <c r="AD130" s="318"/>
      <c r="AE130" s="318"/>
      <c r="AF130" s="318"/>
      <c r="AG130" s="318"/>
    </row>
    <row r="131" spans="1:33" s="308" customFormat="1" ht="15">
      <c r="A131" s="312">
        <v>161</v>
      </c>
      <c r="C131" s="313" t="s">
        <v>1076</v>
      </c>
      <c r="D131" s="308" t="s">
        <v>433</v>
      </c>
      <c r="F131" s="314" t="s">
        <v>294</v>
      </c>
      <c r="J131" s="315"/>
      <c r="K131" s="315"/>
      <c r="L131" s="314" t="s">
        <v>427</v>
      </c>
      <c r="M131" s="316" t="s">
        <v>444</v>
      </c>
      <c r="N131" s="317" t="s">
        <v>1323</v>
      </c>
      <c r="O131" s="319"/>
      <c r="P131" s="319"/>
      <c r="Q131" s="315" t="s">
        <v>1320</v>
      </c>
      <c r="R131" s="315" t="s">
        <v>1320</v>
      </c>
      <c r="S131" s="1" t="e">
        <f>Table_CampList[[#This Row],[Total]]/Table_CampList[[#This Row],[HH]]</f>
        <v>#VALUE!</v>
      </c>
      <c r="T131" s="313" t="s">
        <v>1320</v>
      </c>
      <c r="U131" s="318"/>
      <c r="V131" s="318"/>
      <c r="W131" s="318"/>
      <c r="X131" s="318"/>
      <c r="Y131" s="318"/>
      <c r="Z131" s="318"/>
      <c r="AA131" s="318"/>
      <c r="AB131" s="318"/>
      <c r="AC131" s="318"/>
      <c r="AD131" s="318"/>
      <c r="AE131" s="318"/>
      <c r="AF131" s="318"/>
      <c r="AG131" s="318"/>
    </row>
    <row r="132" spans="1:33" s="308" customFormat="1" ht="15">
      <c r="A132" s="312">
        <v>162</v>
      </c>
      <c r="C132" s="313" t="s">
        <v>1076</v>
      </c>
      <c r="D132" s="308" t="s">
        <v>433</v>
      </c>
      <c r="F132" s="314" t="s">
        <v>294</v>
      </c>
      <c r="J132" s="315"/>
      <c r="K132" s="315"/>
      <c r="L132" s="314" t="s">
        <v>398</v>
      </c>
      <c r="M132" s="316" t="s">
        <v>397</v>
      </c>
      <c r="N132" s="317" t="s">
        <v>1323</v>
      </c>
      <c r="O132" s="319"/>
      <c r="P132" s="319"/>
      <c r="Q132" s="315" t="s">
        <v>1320</v>
      </c>
      <c r="R132" s="315" t="s">
        <v>1320</v>
      </c>
      <c r="S132" s="1" t="e">
        <f>Table_CampList[[#This Row],[Total]]/Table_CampList[[#This Row],[HH]]</f>
        <v>#VALUE!</v>
      </c>
      <c r="T132" s="313" t="s">
        <v>996</v>
      </c>
      <c r="U132" s="318"/>
      <c r="V132" s="318"/>
      <c r="W132" s="318"/>
      <c r="X132" s="318"/>
      <c r="Y132" s="318"/>
      <c r="Z132" s="318"/>
      <c r="AA132" s="318"/>
      <c r="AB132" s="318"/>
      <c r="AC132" s="318"/>
      <c r="AD132" s="318"/>
      <c r="AE132" s="318"/>
      <c r="AF132" s="318"/>
      <c r="AG132" s="318"/>
    </row>
    <row r="133" spans="1:33" s="308" customFormat="1" ht="15">
      <c r="A133" s="312">
        <v>163</v>
      </c>
      <c r="C133" s="313" t="s">
        <v>1076</v>
      </c>
      <c r="D133" s="308" t="s">
        <v>433</v>
      </c>
      <c r="F133" s="314" t="s">
        <v>303</v>
      </c>
      <c r="J133" s="315"/>
      <c r="K133" s="315"/>
      <c r="L133" s="314" t="s">
        <v>304</v>
      </c>
      <c r="M133" s="316" t="s">
        <v>302</v>
      </c>
      <c r="N133" s="317" t="s">
        <v>1323</v>
      </c>
      <c r="O133" s="319"/>
      <c r="P133" s="319"/>
      <c r="Q133" s="315">
        <v>18</v>
      </c>
      <c r="R133" s="315">
        <v>74</v>
      </c>
      <c r="S133" s="1">
        <f>Table_CampList[[#This Row],[Total]]/Table_CampList[[#This Row],[HH]]</f>
        <v>4.111111111111111</v>
      </c>
      <c r="T133" s="313" t="s">
        <v>996</v>
      </c>
      <c r="U133" s="318"/>
      <c r="V133" s="318"/>
      <c r="W133" s="318"/>
      <c r="X133" s="318"/>
      <c r="Y133" s="318"/>
      <c r="Z133" s="318"/>
      <c r="AA133" s="318"/>
      <c r="AB133" s="318"/>
      <c r="AC133" s="318"/>
      <c r="AD133" s="318"/>
      <c r="AE133" s="318"/>
      <c r="AF133" s="318"/>
      <c r="AG133" s="318"/>
    </row>
    <row r="134" spans="1:33" s="308" customFormat="1" ht="15">
      <c r="A134" s="312">
        <v>164</v>
      </c>
      <c r="C134" s="313" t="s">
        <v>1076</v>
      </c>
      <c r="D134" s="308" t="s">
        <v>433</v>
      </c>
      <c r="F134" s="314" t="s">
        <v>306</v>
      </c>
      <c r="J134" s="315"/>
      <c r="K134" s="315"/>
      <c r="L134" s="314" t="s">
        <v>307</v>
      </c>
      <c r="M134" s="316" t="s">
        <v>305</v>
      </c>
      <c r="N134" s="317" t="s">
        <v>1319</v>
      </c>
      <c r="O134" s="319"/>
      <c r="P134" s="319"/>
      <c r="Q134" s="315" t="s">
        <v>1320</v>
      </c>
      <c r="R134" s="315" t="s">
        <v>1320</v>
      </c>
      <c r="S134" s="1" t="e">
        <f>Table_CampList[[#This Row],[Total]]/Table_CampList[[#This Row],[HH]]</f>
        <v>#VALUE!</v>
      </c>
      <c r="T134" s="313" t="s">
        <v>1320</v>
      </c>
      <c r="U134" s="318"/>
      <c r="V134" s="318"/>
      <c r="W134" s="318"/>
      <c r="X134" s="318"/>
      <c r="Y134" s="318"/>
      <c r="Z134" s="318"/>
      <c r="AA134" s="318"/>
      <c r="AB134" s="318"/>
      <c r="AC134" s="318"/>
      <c r="AD134" s="318"/>
      <c r="AE134" s="318"/>
      <c r="AF134" s="318"/>
      <c r="AG134" s="318"/>
    </row>
    <row r="135" spans="1:33" s="308" customFormat="1" ht="15">
      <c r="A135" s="312">
        <v>165</v>
      </c>
      <c r="C135" s="313" t="s">
        <v>1076</v>
      </c>
      <c r="D135" s="308" t="s">
        <v>433</v>
      </c>
      <c r="F135" s="314" t="s">
        <v>308</v>
      </c>
      <c r="J135" s="315"/>
      <c r="K135" s="315"/>
      <c r="L135" s="314" t="s">
        <v>310</v>
      </c>
      <c r="M135" s="316" t="s">
        <v>309</v>
      </c>
      <c r="N135" s="317" t="s">
        <v>1323</v>
      </c>
      <c r="O135" s="319"/>
      <c r="P135" s="319"/>
      <c r="Q135" s="315">
        <v>375</v>
      </c>
      <c r="R135" s="315">
        <v>1691</v>
      </c>
      <c r="S135" s="1">
        <f>Table_CampList[[#This Row],[Total]]/Table_CampList[[#This Row],[HH]]</f>
        <v>4.509333333333333</v>
      </c>
      <c r="T135" s="313" t="s">
        <v>1320</v>
      </c>
      <c r="U135" s="318"/>
      <c r="V135" s="318"/>
      <c r="W135" s="318"/>
      <c r="X135" s="318"/>
      <c r="Y135" s="318"/>
      <c r="Z135" s="318"/>
      <c r="AA135" s="318"/>
      <c r="AB135" s="318"/>
      <c r="AC135" s="318"/>
      <c r="AD135" s="318"/>
      <c r="AE135" s="318"/>
      <c r="AF135" s="318"/>
      <c r="AG135" s="318"/>
    </row>
    <row r="136" spans="1:33" s="308" customFormat="1" ht="15">
      <c r="A136" s="312">
        <v>166</v>
      </c>
      <c r="C136" s="313" t="s">
        <v>1076</v>
      </c>
      <c r="D136" s="308" t="s">
        <v>433</v>
      </c>
      <c r="F136" s="314" t="s">
        <v>308</v>
      </c>
      <c r="J136" s="315"/>
      <c r="K136" s="315"/>
      <c r="L136" s="314" t="s">
        <v>14</v>
      </c>
      <c r="M136" s="316" t="s">
        <v>448</v>
      </c>
      <c r="N136" s="317" t="s">
        <v>1319</v>
      </c>
      <c r="O136" s="319"/>
      <c r="P136" s="319"/>
      <c r="Q136" s="315">
        <v>9</v>
      </c>
      <c r="R136" s="315">
        <v>25</v>
      </c>
      <c r="S136" s="1">
        <f>Table_CampList[[#This Row],[Total]]/Table_CampList[[#This Row],[HH]]</f>
        <v>2.7777777777777777</v>
      </c>
      <c r="T136" s="313" t="s">
        <v>1320</v>
      </c>
      <c r="U136" s="318"/>
      <c r="V136" s="318"/>
      <c r="W136" s="318"/>
      <c r="X136" s="318"/>
      <c r="Y136" s="318"/>
      <c r="Z136" s="318"/>
      <c r="AA136" s="318"/>
      <c r="AB136" s="318"/>
      <c r="AC136" s="318"/>
      <c r="AD136" s="318"/>
      <c r="AE136" s="318"/>
      <c r="AF136" s="318"/>
      <c r="AG136" s="318"/>
    </row>
    <row r="137" spans="1:33" s="308" customFormat="1" ht="15">
      <c r="A137" s="312">
        <v>167</v>
      </c>
      <c r="C137" s="313" t="s">
        <v>1076</v>
      </c>
      <c r="D137" s="308" t="s">
        <v>433</v>
      </c>
      <c r="F137" s="314" t="s">
        <v>308</v>
      </c>
      <c r="J137" s="315"/>
      <c r="K137" s="315"/>
      <c r="L137" s="314" t="s">
        <v>312</v>
      </c>
      <c r="M137" s="316" t="s">
        <v>311</v>
      </c>
      <c r="N137" s="317" t="s">
        <v>1319</v>
      </c>
      <c r="O137" s="317">
        <v>96.807353</v>
      </c>
      <c r="P137" s="317">
        <v>24.200361</v>
      </c>
      <c r="Q137" s="315">
        <v>106</v>
      </c>
      <c r="R137" s="315">
        <v>263</v>
      </c>
      <c r="S137" s="1">
        <f>Table_CampList[[#This Row],[Total]]/Table_CampList[[#This Row],[HH]]</f>
        <v>2.481132075471698</v>
      </c>
      <c r="T137" s="313" t="s">
        <v>960</v>
      </c>
      <c r="U137" s="318"/>
      <c r="V137" s="318"/>
      <c r="W137" s="318"/>
      <c r="X137" s="318"/>
      <c r="Y137" s="318"/>
      <c r="Z137" s="318"/>
      <c r="AA137" s="318"/>
      <c r="AB137" s="318"/>
      <c r="AC137" s="318"/>
      <c r="AD137" s="318"/>
      <c r="AE137" s="318"/>
      <c r="AF137" s="318"/>
      <c r="AG137" s="318"/>
    </row>
    <row r="138" spans="1:33" s="308" customFormat="1" ht="15">
      <c r="A138" s="312">
        <v>168</v>
      </c>
      <c r="C138" s="313" t="s">
        <v>1076</v>
      </c>
      <c r="D138" s="308" t="s">
        <v>433</v>
      </c>
      <c r="F138" s="314" t="s">
        <v>308</v>
      </c>
      <c r="J138" s="315"/>
      <c r="K138" s="315"/>
      <c r="L138" s="314" t="s">
        <v>314</v>
      </c>
      <c r="M138" s="316" t="s">
        <v>313</v>
      </c>
      <c r="N138" s="317" t="s">
        <v>1319</v>
      </c>
      <c r="O138" s="319"/>
      <c r="P138" s="319"/>
      <c r="Q138" s="315">
        <v>45</v>
      </c>
      <c r="R138" s="315">
        <v>174</v>
      </c>
      <c r="S138" s="1">
        <f>Table_CampList[[#This Row],[Total]]/Table_CampList[[#This Row],[HH]]</f>
        <v>3.8666666666666667</v>
      </c>
      <c r="T138" s="313" t="s">
        <v>995</v>
      </c>
      <c r="U138" s="318"/>
      <c r="V138" s="318"/>
      <c r="W138" s="318"/>
      <c r="X138" s="318"/>
      <c r="Y138" s="318"/>
      <c r="Z138" s="318"/>
      <c r="AA138" s="318"/>
      <c r="AB138" s="318"/>
      <c r="AC138" s="318"/>
      <c r="AD138" s="318"/>
      <c r="AE138" s="318"/>
      <c r="AF138" s="318"/>
      <c r="AG138" s="318"/>
    </row>
    <row r="139" spans="1:33" s="308" customFormat="1" ht="15">
      <c r="A139" s="312">
        <v>172</v>
      </c>
      <c r="C139" s="313" t="s">
        <v>1076</v>
      </c>
      <c r="D139" s="308" t="s">
        <v>433</v>
      </c>
      <c r="F139" s="314" t="s">
        <v>316</v>
      </c>
      <c r="J139" s="315"/>
      <c r="K139" s="315"/>
      <c r="L139" s="314" t="s">
        <v>341</v>
      </c>
      <c r="M139" s="316" t="s">
        <v>340</v>
      </c>
      <c r="N139" s="317" t="s">
        <v>1323</v>
      </c>
      <c r="O139" s="317">
        <v>97.915833</v>
      </c>
      <c r="P139" s="317">
        <v>25.220278</v>
      </c>
      <c r="Q139" s="315">
        <v>130</v>
      </c>
      <c r="R139" s="315">
        <v>640</v>
      </c>
      <c r="S139" s="1">
        <f>Table_CampList[[#This Row],[Total]]/Table_CampList[[#This Row],[HH]]</f>
        <v>4.923076923076923</v>
      </c>
      <c r="T139" s="313" t="s">
        <v>1325</v>
      </c>
      <c r="U139" s="318"/>
      <c r="V139" s="318"/>
      <c r="W139" s="318"/>
      <c r="X139" s="318"/>
      <c r="Y139" s="318"/>
      <c r="Z139" s="318"/>
      <c r="AA139" s="318"/>
      <c r="AB139" s="318"/>
      <c r="AC139" s="318"/>
      <c r="AD139" s="318"/>
      <c r="AE139" s="318"/>
      <c r="AF139" s="318"/>
      <c r="AG139" s="318"/>
    </row>
    <row r="140" spans="1:33" s="308" customFormat="1" ht="15">
      <c r="A140" s="312">
        <v>173</v>
      </c>
      <c r="C140" s="313" t="s">
        <v>1076</v>
      </c>
      <c r="D140" s="308" t="s">
        <v>433</v>
      </c>
      <c r="F140" s="314" t="s">
        <v>316</v>
      </c>
      <c r="J140" s="315"/>
      <c r="K140" s="315"/>
      <c r="L140" s="314" t="s">
        <v>319</v>
      </c>
      <c r="M140" s="316" t="s">
        <v>318</v>
      </c>
      <c r="N140" s="317" t="s">
        <v>1319</v>
      </c>
      <c r="O140" s="317">
        <v>97.408302</v>
      </c>
      <c r="P140" s="317">
        <v>25.324568</v>
      </c>
      <c r="Q140" s="315">
        <v>134</v>
      </c>
      <c r="R140" s="315">
        <v>554</v>
      </c>
      <c r="S140" s="1">
        <f>Table_CampList[[#This Row],[Total]]/Table_CampList[[#This Row],[HH]]</f>
        <v>4.134328358208955</v>
      </c>
      <c r="T140" s="313" t="s">
        <v>1262</v>
      </c>
      <c r="U140" s="318"/>
      <c r="V140" s="318"/>
      <c r="W140" s="318"/>
      <c r="X140" s="318"/>
      <c r="Y140" s="318"/>
      <c r="Z140" s="318"/>
      <c r="AA140" s="318"/>
      <c r="AB140" s="318"/>
      <c r="AC140" s="318"/>
      <c r="AD140" s="318"/>
      <c r="AE140" s="318"/>
      <c r="AF140" s="318"/>
      <c r="AG140" s="318"/>
    </row>
    <row r="141" spans="1:33" s="308" customFormat="1" ht="15">
      <c r="A141" s="312">
        <v>174</v>
      </c>
      <c r="C141" s="313" t="s">
        <v>1076</v>
      </c>
      <c r="D141" s="308" t="s">
        <v>433</v>
      </c>
      <c r="F141" s="314" t="s">
        <v>316</v>
      </c>
      <c r="J141" s="315"/>
      <c r="K141" s="321"/>
      <c r="L141" s="314" t="s">
        <v>343</v>
      </c>
      <c r="M141" s="316" t="s">
        <v>342</v>
      </c>
      <c r="N141" s="317" t="s">
        <v>1323</v>
      </c>
      <c r="O141" s="317">
        <v>97.807183</v>
      </c>
      <c r="P141" s="317">
        <v>25.200333</v>
      </c>
      <c r="Q141" s="315">
        <v>210</v>
      </c>
      <c r="R141" s="321">
        <v>1366</v>
      </c>
      <c r="S141" s="1">
        <f>Table_CampList[[#This Row],[Total]]/Table_CampList[[#This Row],[HH]]</f>
        <v>6.504761904761905</v>
      </c>
      <c r="T141" s="313" t="s">
        <v>1329</v>
      </c>
      <c r="U141" s="318"/>
      <c r="V141" s="318"/>
      <c r="W141" s="318"/>
      <c r="X141" s="318"/>
      <c r="Y141" s="318"/>
      <c r="Z141" s="318"/>
      <c r="AA141" s="318"/>
      <c r="AB141" s="318"/>
      <c r="AC141" s="318"/>
      <c r="AD141" s="318"/>
      <c r="AE141" s="318"/>
      <c r="AF141" s="318"/>
      <c r="AG141" s="318"/>
    </row>
    <row r="142" spans="1:33" s="308" customFormat="1" ht="15">
      <c r="A142" s="312">
        <v>175</v>
      </c>
      <c r="C142" s="313" t="s">
        <v>1076</v>
      </c>
      <c r="D142" s="308" t="s">
        <v>433</v>
      </c>
      <c r="F142" s="314" t="s">
        <v>316</v>
      </c>
      <c r="J142" s="315"/>
      <c r="K142" s="321"/>
      <c r="L142" s="314" t="s">
        <v>321</v>
      </c>
      <c r="M142" s="316" t="s">
        <v>320</v>
      </c>
      <c r="N142" s="317" t="s">
        <v>1323</v>
      </c>
      <c r="O142" s="317">
        <v>97.551717</v>
      </c>
      <c r="P142" s="317">
        <v>24.746817</v>
      </c>
      <c r="Q142" s="315">
        <v>476</v>
      </c>
      <c r="R142" s="321">
        <v>2090</v>
      </c>
      <c r="S142" s="1">
        <f>Table_CampList[[#This Row],[Total]]/Table_CampList[[#This Row],[HH]]</f>
        <v>4.390756302521009</v>
      </c>
      <c r="T142" s="313" t="s">
        <v>1322</v>
      </c>
      <c r="U142" s="318"/>
      <c r="V142" s="318"/>
      <c r="W142" s="318"/>
      <c r="X142" s="318"/>
      <c r="Y142" s="318"/>
      <c r="Z142" s="318"/>
      <c r="AA142" s="318"/>
      <c r="AB142" s="318"/>
      <c r="AC142" s="318"/>
      <c r="AD142" s="318"/>
      <c r="AE142" s="318"/>
      <c r="AF142" s="318"/>
      <c r="AG142" s="318"/>
    </row>
    <row r="143" spans="1:33" s="308" customFormat="1" ht="15">
      <c r="A143" s="312">
        <v>176</v>
      </c>
      <c r="C143" s="313" t="s">
        <v>1076</v>
      </c>
      <c r="D143" s="308" t="s">
        <v>433</v>
      </c>
      <c r="F143" s="314" t="s">
        <v>316</v>
      </c>
      <c r="J143" s="315"/>
      <c r="K143" s="321"/>
      <c r="L143" s="314" t="s">
        <v>347</v>
      </c>
      <c r="M143" s="316" t="s">
        <v>346</v>
      </c>
      <c r="N143" s="317" t="s">
        <v>1323</v>
      </c>
      <c r="O143" s="319"/>
      <c r="P143" s="319"/>
      <c r="Q143" s="315">
        <v>834</v>
      </c>
      <c r="R143" s="321">
        <v>4387</v>
      </c>
      <c r="S143" s="1">
        <f>Table_CampList[[#This Row],[Total]]/Table_CampList[[#This Row],[HH]]</f>
        <v>5.2601918465227815</v>
      </c>
      <c r="T143" s="313" t="s">
        <v>1320</v>
      </c>
      <c r="U143" s="318"/>
      <c r="V143" s="318"/>
      <c r="W143" s="318"/>
      <c r="X143" s="318"/>
      <c r="Y143" s="318"/>
      <c r="Z143" s="318"/>
      <c r="AA143" s="318"/>
      <c r="AB143" s="318"/>
      <c r="AC143" s="318"/>
      <c r="AD143" s="318"/>
      <c r="AE143" s="318"/>
      <c r="AF143" s="318"/>
      <c r="AG143" s="318"/>
    </row>
    <row r="144" spans="1:33" s="308" customFormat="1" ht="15">
      <c r="A144" s="312">
        <v>177</v>
      </c>
      <c r="C144" s="313" t="s">
        <v>1076</v>
      </c>
      <c r="D144" s="308" t="s">
        <v>433</v>
      </c>
      <c r="F144" s="314" t="s">
        <v>316</v>
      </c>
      <c r="J144" s="315"/>
      <c r="K144" s="315"/>
      <c r="L144" s="314" t="s">
        <v>327</v>
      </c>
      <c r="M144" s="316" t="s">
        <v>326</v>
      </c>
      <c r="N144" s="317" t="s">
        <v>1319</v>
      </c>
      <c r="O144" s="317">
        <v>97.451965</v>
      </c>
      <c r="P144" s="317">
        <v>25.356632</v>
      </c>
      <c r="Q144" s="315">
        <v>23</v>
      </c>
      <c r="R144" s="315">
        <v>114</v>
      </c>
      <c r="S144" s="1">
        <f>Table_CampList[[#This Row],[Total]]/Table_CampList[[#This Row],[HH]]</f>
        <v>4.956521739130435</v>
      </c>
      <c r="T144" s="313" t="s">
        <v>1328</v>
      </c>
      <c r="U144" s="318"/>
      <c r="V144" s="318"/>
      <c r="W144" s="318"/>
      <c r="X144" s="318"/>
      <c r="Y144" s="318"/>
      <c r="Z144" s="318"/>
      <c r="AA144" s="318"/>
      <c r="AB144" s="318"/>
      <c r="AC144" s="318"/>
      <c r="AD144" s="318"/>
      <c r="AE144" s="318"/>
      <c r="AF144" s="318"/>
      <c r="AG144" s="318"/>
    </row>
    <row r="145" spans="1:33" s="308" customFormat="1" ht="15">
      <c r="A145" s="312">
        <v>178</v>
      </c>
      <c r="C145" s="313" t="s">
        <v>1076</v>
      </c>
      <c r="D145" s="308" t="s">
        <v>433</v>
      </c>
      <c r="F145" s="314" t="s">
        <v>316</v>
      </c>
      <c r="J145" s="315"/>
      <c r="K145" s="315"/>
      <c r="L145" s="314" t="s">
        <v>329</v>
      </c>
      <c r="M145" s="316" t="s">
        <v>328</v>
      </c>
      <c r="N145" s="317" t="s">
        <v>1323</v>
      </c>
      <c r="O145" s="317">
        <v>97.71523</v>
      </c>
      <c r="P145" s="317">
        <v>24.98025</v>
      </c>
      <c r="Q145" s="315">
        <v>622</v>
      </c>
      <c r="R145" s="315">
        <v>2790</v>
      </c>
      <c r="S145" s="1">
        <f>Table_CampList[[#This Row],[Total]]/Table_CampList[[#This Row],[HH]]</f>
        <v>4.485530546623794</v>
      </c>
      <c r="T145" s="313" t="s">
        <v>1325</v>
      </c>
      <c r="U145" s="318"/>
      <c r="V145" s="318"/>
      <c r="W145" s="318"/>
      <c r="X145" s="318"/>
      <c r="Y145" s="318"/>
      <c r="Z145" s="318"/>
      <c r="AA145" s="318"/>
      <c r="AB145" s="318"/>
      <c r="AC145" s="318"/>
      <c r="AD145" s="318"/>
      <c r="AE145" s="318"/>
      <c r="AF145" s="318"/>
      <c r="AG145" s="318"/>
    </row>
    <row r="146" spans="1:33" s="308" customFormat="1" ht="15">
      <c r="A146" s="312">
        <v>179</v>
      </c>
      <c r="C146" s="313" t="s">
        <v>1076</v>
      </c>
      <c r="D146" s="308" t="s">
        <v>433</v>
      </c>
      <c r="F146" s="314" t="s">
        <v>316</v>
      </c>
      <c r="J146" s="315"/>
      <c r="K146" s="315"/>
      <c r="L146" s="314" t="s">
        <v>335</v>
      </c>
      <c r="M146" s="316" t="s">
        <v>334</v>
      </c>
      <c r="N146" s="317" t="s">
        <v>1319</v>
      </c>
      <c r="O146" s="317">
        <v>97.435234</v>
      </c>
      <c r="P146" s="317">
        <v>25.425276</v>
      </c>
      <c r="Q146" s="315">
        <v>107</v>
      </c>
      <c r="R146" s="315">
        <v>493</v>
      </c>
      <c r="S146" s="1">
        <f>Table_CampList[[#This Row],[Total]]/Table_CampList[[#This Row],[HH]]</f>
        <v>4.607476635514018</v>
      </c>
      <c r="T146" s="313" t="s">
        <v>1262</v>
      </c>
      <c r="U146" s="318"/>
      <c r="V146" s="318"/>
      <c r="W146" s="318"/>
      <c r="X146" s="318"/>
      <c r="Y146" s="318"/>
      <c r="Z146" s="318"/>
      <c r="AA146" s="318"/>
      <c r="AB146" s="318"/>
      <c r="AC146" s="318"/>
      <c r="AD146" s="318"/>
      <c r="AE146" s="318"/>
      <c r="AF146" s="318"/>
      <c r="AG146" s="318"/>
    </row>
    <row r="147" spans="1:33" s="308" customFormat="1" ht="15">
      <c r="A147" s="312">
        <v>180</v>
      </c>
      <c r="C147" s="313" t="s">
        <v>1076</v>
      </c>
      <c r="D147" s="308" t="s">
        <v>433</v>
      </c>
      <c r="F147" s="314" t="s">
        <v>316</v>
      </c>
      <c r="J147" s="315"/>
      <c r="K147" s="315"/>
      <c r="L147" s="314" t="s">
        <v>337</v>
      </c>
      <c r="M147" s="316" t="s">
        <v>336</v>
      </c>
      <c r="N147" s="317" t="s">
        <v>1319</v>
      </c>
      <c r="O147" s="317">
        <v>97.43845</v>
      </c>
      <c r="P147" s="317">
        <v>25.4159</v>
      </c>
      <c r="Q147" s="315">
        <v>243</v>
      </c>
      <c r="R147" s="315">
        <v>1078</v>
      </c>
      <c r="S147" s="1">
        <f>Table_CampList[[#This Row],[Total]]/Table_CampList[[#This Row],[HH]]</f>
        <v>4.436213991769547</v>
      </c>
      <c r="T147" s="313" t="s">
        <v>1263</v>
      </c>
      <c r="U147" s="318"/>
      <c r="V147" s="318"/>
      <c r="W147" s="318"/>
      <c r="X147" s="318"/>
      <c r="Y147" s="318"/>
      <c r="Z147" s="318"/>
      <c r="AA147" s="318"/>
      <c r="AB147" s="318"/>
      <c r="AC147" s="318"/>
      <c r="AD147" s="318"/>
      <c r="AE147" s="318"/>
      <c r="AF147" s="318"/>
      <c r="AG147" s="318"/>
    </row>
    <row r="148" spans="1:33" s="308" customFormat="1" ht="15">
      <c r="A148" s="312">
        <v>181</v>
      </c>
      <c r="C148" s="313" t="s">
        <v>1076</v>
      </c>
      <c r="D148" s="308" t="s">
        <v>433</v>
      </c>
      <c r="F148" s="314" t="s">
        <v>316</v>
      </c>
      <c r="J148" s="315"/>
      <c r="K148" s="315"/>
      <c r="L148" s="314" t="s">
        <v>331</v>
      </c>
      <c r="M148" s="316" t="s">
        <v>330</v>
      </c>
      <c r="N148" s="317" t="s">
        <v>1319</v>
      </c>
      <c r="O148" s="317">
        <v>97.437435</v>
      </c>
      <c r="P148" s="317">
        <v>25.411413</v>
      </c>
      <c r="Q148" s="315">
        <v>384</v>
      </c>
      <c r="R148" s="315">
        <v>1694</v>
      </c>
      <c r="S148" s="1">
        <f>Table_CampList[[#This Row],[Total]]/Table_CampList[[#This Row],[HH]]</f>
        <v>4.411458333333333</v>
      </c>
      <c r="T148" s="313" t="s">
        <v>996</v>
      </c>
      <c r="U148" s="318"/>
      <c r="V148" s="318"/>
      <c r="W148" s="318"/>
      <c r="X148" s="318"/>
      <c r="Y148" s="318"/>
      <c r="Z148" s="318"/>
      <c r="AA148" s="318"/>
      <c r="AB148" s="318"/>
      <c r="AC148" s="318"/>
      <c r="AD148" s="318"/>
      <c r="AE148" s="318"/>
      <c r="AF148" s="318"/>
      <c r="AG148" s="318"/>
    </row>
    <row r="149" spans="1:33" s="308" customFormat="1" ht="15">
      <c r="A149" s="312">
        <v>182</v>
      </c>
      <c r="C149" s="313" t="s">
        <v>1076</v>
      </c>
      <c r="D149" s="308" t="s">
        <v>433</v>
      </c>
      <c r="F149" s="314" t="s">
        <v>316</v>
      </c>
      <c r="J149" s="315"/>
      <c r="K149" s="315"/>
      <c r="L149" s="314" t="s">
        <v>333</v>
      </c>
      <c r="M149" s="316" t="s">
        <v>332</v>
      </c>
      <c r="N149" s="317" t="s">
        <v>1319</v>
      </c>
      <c r="O149" s="317">
        <v>97.426297</v>
      </c>
      <c r="P149" s="317">
        <v>25.409566</v>
      </c>
      <c r="Q149" s="315">
        <v>47</v>
      </c>
      <c r="R149" s="315">
        <v>184</v>
      </c>
      <c r="S149" s="1">
        <f>Table_CampList[[#This Row],[Total]]/Table_CampList[[#This Row],[HH]]</f>
        <v>3.9148936170212765</v>
      </c>
      <c r="T149" s="313" t="s">
        <v>996</v>
      </c>
      <c r="U149" s="318"/>
      <c r="V149" s="318"/>
      <c r="W149" s="318"/>
      <c r="X149" s="318"/>
      <c r="Y149" s="318"/>
      <c r="Z149" s="318"/>
      <c r="AA149" s="318"/>
      <c r="AB149" s="318"/>
      <c r="AC149" s="318"/>
      <c r="AD149" s="318"/>
      <c r="AE149" s="318"/>
      <c r="AF149" s="318"/>
      <c r="AG149" s="318"/>
    </row>
    <row r="150" spans="1:33" s="308" customFormat="1" ht="15">
      <c r="A150" s="312">
        <v>183</v>
      </c>
      <c r="C150" s="313" t="s">
        <v>1076</v>
      </c>
      <c r="D150" s="308" t="s">
        <v>433</v>
      </c>
      <c r="F150" s="314" t="s">
        <v>316</v>
      </c>
      <c r="J150" s="315"/>
      <c r="K150" s="315"/>
      <c r="L150" s="314" t="s">
        <v>339</v>
      </c>
      <c r="M150" s="316" t="s">
        <v>338</v>
      </c>
      <c r="N150" s="317" t="s">
        <v>1319</v>
      </c>
      <c r="O150" s="317">
        <v>97.550267</v>
      </c>
      <c r="P150" s="317">
        <v>24.747967</v>
      </c>
      <c r="Q150" s="315" t="s">
        <v>1320</v>
      </c>
      <c r="R150" s="315" t="s">
        <v>1320</v>
      </c>
      <c r="S150" s="1" t="e">
        <f>Table_CampList[[#This Row],[Total]]/Table_CampList[[#This Row],[HH]]</f>
        <v>#VALUE!</v>
      </c>
      <c r="T150" s="313" t="s">
        <v>1320</v>
      </c>
      <c r="U150" s="318"/>
      <c r="V150" s="318"/>
      <c r="W150" s="318"/>
      <c r="X150" s="318"/>
      <c r="Y150" s="318"/>
      <c r="Z150" s="318"/>
      <c r="AA150" s="318"/>
      <c r="AB150" s="318"/>
      <c r="AC150" s="318"/>
      <c r="AD150" s="318"/>
      <c r="AE150" s="318"/>
      <c r="AF150" s="318"/>
      <c r="AG150" s="318"/>
    </row>
    <row r="151" spans="1:33" s="308" customFormat="1" ht="15">
      <c r="A151" s="312">
        <v>184</v>
      </c>
      <c r="C151" s="313" t="s">
        <v>1076</v>
      </c>
      <c r="D151" s="308" t="s">
        <v>433</v>
      </c>
      <c r="F151" s="314" t="s">
        <v>316</v>
      </c>
      <c r="J151" s="315"/>
      <c r="K151" s="315"/>
      <c r="L151" s="314" t="s">
        <v>351</v>
      </c>
      <c r="M151" s="316" t="s">
        <v>350</v>
      </c>
      <c r="N151" s="317" t="s">
        <v>1319</v>
      </c>
      <c r="O151" s="317">
        <v>97.345039</v>
      </c>
      <c r="P151" s="317">
        <v>25.351965</v>
      </c>
      <c r="Q151" s="315">
        <v>18</v>
      </c>
      <c r="R151" s="315">
        <v>72</v>
      </c>
      <c r="S151" s="1">
        <f>Table_CampList[[#This Row],[Total]]/Table_CampList[[#This Row],[HH]]</f>
        <v>4</v>
      </c>
      <c r="T151" s="313" t="s">
        <v>1320</v>
      </c>
      <c r="U151" s="318"/>
      <c r="V151" s="318"/>
      <c r="W151" s="318"/>
      <c r="X151" s="318"/>
      <c r="Y151" s="318"/>
      <c r="Z151" s="318"/>
      <c r="AA151" s="318"/>
      <c r="AB151" s="318"/>
      <c r="AC151" s="318"/>
      <c r="AD151" s="318"/>
      <c r="AE151" s="318"/>
      <c r="AF151" s="318"/>
      <c r="AG151" s="318"/>
    </row>
    <row r="152" spans="1:33" s="308" customFormat="1" ht="15">
      <c r="A152" s="312">
        <v>185</v>
      </c>
      <c r="C152" s="313" t="s">
        <v>1076</v>
      </c>
      <c r="D152" s="308" t="s">
        <v>433</v>
      </c>
      <c r="F152" s="314" t="s">
        <v>316</v>
      </c>
      <c r="J152" s="315"/>
      <c r="K152" s="315"/>
      <c r="L152" s="314" t="s">
        <v>353</v>
      </c>
      <c r="M152" s="316" t="s">
        <v>352</v>
      </c>
      <c r="N152" s="317" t="s">
        <v>1323</v>
      </c>
      <c r="O152" s="317">
        <v>97.751389</v>
      </c>
      <c r="P152" s="317">
        <v>24.831944</v>
      </c>
      <c r="Q152" s="315">
        <v>172</v>
      </c>
      <c r="R152" s="315">
        <v>708</v>
      </c>
      <c r="S152" s="1">
        <f>Table_CampList[[#This Row],[Total]]/Table_CampList[[#This Row],[HH]]</f>
        <v>4.116279069767442</v>
      </c>
      <c r="T152" s="313" t="s">
        <v>1329</v>
      </c>
      <c r="U152" s="318"/>
      <c r="V152" s="318"/>
      <c r="W152" s="318"/>
      <c r="X152" s="318"/>
      <c r="Y152" s="318"/>
      <c r="Z152" s="318"/>
      <c r="AA152" s="318"/>
      <c r="AB152" s="318"/>
      <c r="AC152" s="318"/>
      <c r="AD152" s="318"/>
      <c r="AE152" s="318"/>
      <c r="AF152" s="318"/>
      <c r="AG152" s="318"/>
    </row>
    <row r="153" spans="1:33" s="308" customFormat="1" ht="15">
      <c r="A153" s="312">
        <v>186</v>
      </c>
      <c r="C153" s="313" t="s">
        <v>1076</v>
      </c>
      <c r="D153" s="308" t="s">
        <v>433</v>
      </c>
      <c r="F153" s="314" t="s">
        <v>316</v>
      </c>
      <c r="J153" s="315"/>
      <c r="K153" s="315"/>
      <c r="L153" s="314" t="s">
        <v>363</v>
      </c>
      <c r="M153" s="316" t="s">
        <v>362</v>
      </c>
      <c r="N153" s="317" t="s">
        <v>1323</v>
      </c>
      <c r="O153" s="317">
        <v>97.990556</v>
      </c>
      <c r="P153" s="317">
        <v>25.265278</v>
      </c>
      <c r="Q153" s="315">
        <v>109</v>
      </c>
      <c r="R153" s="315">
        <v>540</v>
      </c>
      <c r="S153" s="1">
        <f>Table_CampList[[#This Row],[Total]]/Table_CampList[[#This Row],[HH]]</f>
        <v>4.954128440366972</v>
      </c>
      <c r="T153" s="313" t="s">
        <v>1325</v>
      </c>
      <c r="U153" s="318"/>
      <c r="V153" s="318"/>
      <c r="W153" s="318"/>
      <c r="X153" s="318"/>
      <c r="Y153" s="318"/>
      <c r="Z153" s="318"/>
      <c r="AA153" s="318"/>
      <c r="AB153" s="318"/>
      <c r="AC153" s="318"/>
      <c r="AD153" s="318"/>
      <c r="AE153" s="318"/>
      <c r="AF153" s="318"/>
      <c r="AG153" s="318"/>
    </row>
    <row r="154" spans="1:33" s="308" customFormat="1" ht="15">
      <c r="A154" s="312">
        <v>187</v>
      </c>
      <c r="C154" s="313" t="s">
        <v>1076</v>
      </c>
      <c r="D154" s="308" t="s">
        <v>433</v>
      </c>
      <c r="F154" s="314" t="s">
        <v>316</v>
      </c>
      <c r="J154" s="315"/>
      <c r="K154" s="315"/>
      <c r="L154" s="314" t="s">
        <v>325</v>
      </c>
      <c r="M154" s="316" t="s">
        <v>324</v>
      </c>
      <c r="N154" s="317" t="s">
        <v>1319</v>
      </c>
      <c r="O154" s="317">
        <v>97.441483</v>
      </c>
      <c r="P154" s="317">
        <v>25.354884</v>
      </c>
      <c r="Q154" s="315">
        <v>118</v>
      </c>
      <c r="R154" s="315">
        <v>332</v>
      </c>
      <c r="S154" s="1">
        <f>Table_CampList[[#This Row],[Total]]/Table_CampList[[#This Row],[HH]]</f>
        <v>2.8135593220338984</v>
      </c>
      <c r="T154" s="313" t="s">
        <v>1262</v>
      </c>
      <c r="U154" s="318"/>
      <c r="V154" s="318"/>
      <c r="W154" s="318"/>
      <c r="X154" s="318"/>
      <c r="Y154" s="318"/>
      <c r="Z154" s="318"/>
      <c r="AA154" s="318"/>
      <c r="AB154" s="318"/>
      <c r="AC154" s="318"/>
      <c r="AD154" s="318"/>
      <c r="AE154" s="318"/>
      <c r="AF154" s="318"/>
      <c r="AG154" s="318"/>
    </row>
    <row r="155" spans="1:33" s="308" customFormat="1" ht="15">
      <c r="A155" s="312">
        <v>188</v>
      </c>
      <c r="C155" s="313" t="s">
        <v>1076</v>
      </c>
      <c r="D155" s="308" t="s">
        <v>433</v>
      </c>
      <c r="F155" s="314" t="s">
        <v>316</v>
      </c>
      <c r="J155" s="315"/>
      <c r="K155" s="315"/>
      <c r="L155" s="314" t="s">
        <v>349</v>
      </c>
      <c r="M155" s="316" t="s">
        <v>348</v>
      </c>
      <c r="N155" s="317" t="s">
        <v>1319</v>
      </c>
      <c r="O155" s="317">
        <v>97.438271</v>
      </c>
      <c r="P155" s="317">
        <v>25.351655</v>
      </c>
      <c r="Q155" s="315">
        <v>81</v>
      </c>
      <c r="R155" s="315">
        <v>364</v>
      </c>
      <c r="S155" s="1">
        <f>Table_CampList[[#This Row],[Total]]/Table_CampList[[#This Row],[HH]]</f>
        <v>4.493827160493828</v>
      </c>
      <c r="T155" s="313" t="s">
        <v>996</v>
      </c>
      <c r="U155" s="318"/>
      <c r="V155" s="318"/>
      <c r="W155" s="318"/>
      <c r="X155" s="318"/>
      <c r="Y155" s="318"/>
      <c r="Z155" s="318"/>
      <c r="AA155" s="318"/>
      <c r="AB155" s="318"/>
      <c r="AC155" s="318"/>
      <c r="AD155" s="318"/>
      <c r="AE155" s="318"/>
      <c r="AF155" s="318"/>
      <c r="AG155" s="318"/>
    </row>
    <row r="156" spans="1:33" s="308" customFormat="1" ht="15">
      <c r="A156" s="312">
        <v>189</v>
      </c>
      <c r="C156" s="313" t="s">
        <v>1076</v>
      </c>
      <c r="D156" s="308" t="s">
        <v>433</v>
      </c>
      <c r="F156" s="314" t="s">
        <v>316</v>
      </c>
      <c r="J156" s="315"/>
      <c r="K156" s="315"/>
      <c r="L156" s="314" t="s">
        <v>345</v>
      </c>
      <c r="M156" s="316" t="s">
        <v>344</v>
      </c>
      <c r="N156" s="317" t="s">
        <v>1319</v>
      </c>
      <c r="O156" s="317">
        <v>97.437569</v>
      </c>
      <c r="P156" s="317">
        <v>25.346004</v>
      </c>
      <c r="Q156" s="315">
        <v>28</v>
      </c>
      <c r="R156" s="315">
        <v>131</v>
      </c>
      <c r="S156" s="1">
        <f>Table_CampList[[#This Row],[Total]]/Table_CampList[[#This Row],[HH]]</f>
        <v>4.678571428571429</v>
      </c>
      <c r="T156" s="313" t="s">
        <v>1262</v>
      </c>
      <c r="U156" s="318"/>
      <c r="V156" s="318"/>
      <c r="W156" s="318"/>
      <c r="X156" s="318"/>
      <c r="Y156" s="318"/>
      <c r="Z156" s="318"/>
      <c r="AA156" s="318"/>
      <c r="AB156" s="318"/>
      <c r="AC156" s="318"/>
      <c r="AD156" s="318"/>
      <c r="AE156" s="318"/>
      <c r="AF156" s="318"/>
      <c r="AG156" s="318"/>
    </row>
    <row r="157" spans="1:33" s="308" customFormat="1" ht="15">
      <c r="A157" s="312">
        <v>190</v>
      </c>
      <c r="C157" s="313" t="s">
        <v>1076</v>
      </c>
      <c r="D157" s="308" t="s">
        <v>433</v>
      </c>
      <c r="F157" s="314" t="s">
        <v>316</v>
      </c>
      <c r="J157" s="315"/>
      <c r="K157" s="315"/>
      <c r="L157" s="314" t="s">
        <v>359</v>
      </c>
      <c r="M157" s="316" t="s">
        <v>358</v>
      </c>
      <c r="N157" s="317" t="s">
        <v>1319</v>
      </c>
      <c r="O157" s="317">
        <v>97.432495</v>
      </c>
      <c r="P157" s="317">
        <v>25.350809</v>
      </c>
      <c r="Q157" s="315">
        <v>101</v>
      </c>
      <c r="R157" s="315">
        <v>524</v>
      </c>
      <c r="S157" s="1">
        <f>Table_CampList[[#This Row],[Total]]/Table_CampList[[#This Row],[HH]]</f>
        <v>5.188118811881188</v>
      </c>
      <c r="T157" s="313" t="s">
        <v>1262</v>
      </c>
      <c r="U157" s="318"/>
      <c r="V157" s="318"/>
      <c r="W157" s="318"/>
      <c r="X157" s="318"/>
      <c r="Y157" s="318"/>
      <c r="Z157" s="318"/>
      <c r="AA157" s="318"/>
      <c r="AB157" s="318"/>
      <c r="AC157" s="318"/>
      <c r="AD157" s="318"/>
      <c r="AE157" s="318"/>
      <c r="AF157" s="318"/>
      <c r="AG157" s="318"/>
    </row>
    <row r="158" spans="1:33" s="308" customFormat="1" ht="15">
      <c r="A158" s="312">
        <v>191</v>
      </c>
      <c r="C158" s="313" t="s">
        <v>1076</v>
      </c>
      <c r="D158" s="308" t="s">
        <v>433</v>
      </c>
      <c r="F158" s="314" t="s">
        <v>316</v>
      </c>
      <c r="J158" s="315"/>
      <c r="K158" s="315"/>
      <c r="L158" s="314" t="s">
        <v>355</v>
      </c>
      <c r="M158" s="316" t="s">
        <v>354</v>
      </c>
      <c r="N158" s="317" t="s">
        <v>1319</v>
      </c>
      <c r="O158" s="317">
        <v>98.025663</v>
      </c>
      <c r="P158" s="317">
        <v>25.418084</v>
      </c>
      <c r="Q158" s="315">
        <v>182</v>
      </c>
      <c r="R158" s="315">
        <v>948</v>
      </c>
      <c r="S158" s="1">
        <f>Table_CampList[[#This Row],[Total]]/Table_CampList[[#This Row],[HH]]</f>
        <v>5.208791208791209</v>
      </c>
      <c r="T158" s="313" t="s">
        <v>1320</v>
      </c>
      <c r="U158" s="318"/>
      <c r="V158" s="318"/>
      <c r="W158" s="318"/>
      <c r="X158" s="318"/>
      <c r="Y158" s="318"/>
      <c r="Z158" s="318"/>
      <c r="AA158" s="318"/>
      <c r="AB158" s="318"/>
      <c r="AC158" s="318"/>
      <c r="AD158" s="318"/>
      <c r="AE158" s="318"/>
      <c r="AF158" s="318"/>
      <c r="AG158" s="318"/>
    </row>
    <row r="159" spans="1:33" s="308" customFormat="1" ht="15">
      <c r="A159" s="312">
        <v>192</v>
      </c>
      <c r="C159" s="313" t="s">
        <v>1076</v>
      </c>
      <c r="D159" s="308" t="s">
        <v>433</v>
      </c>
      <c r="F159" s="314" t="s">
        <v>316</v>
      </c>
      <c r="J159" s="315"/>
      <c r="K159" s="315"/>
      <c r="L159" s="314" t="s">
        <v>357</v>
      </c>
      <c r="M159" s="316" t="s">
        <v>356</v>
      </c>
      <c r="N159" s="317" t="s">
        <v>1319</v>
      </c>
      <c r="O159" s="317">
        <v>97.42796</v>
      </c>
      <c r="P159" s="317">
        <v>25.33351</v>
      </c>
      <c r="Q159" s="315">
        <v>74</v>
      </c>
      <c r="R159" s="315">
        <v>323</v>
      </c>
      <c r="S159" s="1">
        <f>Table_CampList[[#This Row],[Total]]/Table_CampList[[#This Row],[HH]]</f>
        <v>4.364864864864865</v>
      </c>
      <c r="T159" s="313" t="s">
        <v>1262</v>
      </c>
      <c r="U159" s="318"/>
      <c r="V159" s="318"/>
      <c r="W159" s="318"/>
      <c r="X159" s="318"/>
      <c r="Y159" s="318"/>
      <c r="Z159" s="318"/>
      <c r="AA159" s="318"/>
      <c r="AB159" s="318"/>
      <c r="AC159" s="318"/>
      <c r="AD159" s="318"/>
      <c r="AE159" s="318"/>
      <c r="AF159" s="318"/>
      <c r="AG159" s="318"/>
    </row>
    <row r="160" spans="1:33" s="308" customFormat="1" ht="15">
      <c r="A160" s="312">
        <v>193</v>
      </c>
      <c r="C160" s="313" t="s">
        <v>1076</v>
      </c>
      <c r="D160" s="308" t="s">
        <v>433</v>
      </c>
      <c r="F160" s="314" t="s">
        <v>316</v>
      </c>
      <c r="J160" s="315"/>
      <c r="K160" s="315"/>
      <c r="L160" s="314" t="s">
        <v>323</v>
      </c>
      <c r="M160" s="316" t="s">
        <v>322</v>
      </c>
      <c r="N160" s="317" t="s">
        <v>1319</v>
      </c>
      <c r="O160" s="317">
        <v>97.443702</v>
      </c>
      <c r="P160" s="317">
        <v>25.351242</v>
      </c>
      <c r="Q160" s="315">
        <v>77</v>
      </c>
      <c r="R160" s="315">
        <v>372</v>
      </c>
      <c r="S160" s="1">
        <f>Table_CampList[[#This Row],[Total]]/Table_CampList[[#This Row],[HH]]</f>
        <v>4.8311688311688314</v>
      </c>
      <c r="T160" s="313" t="s">
        <v>1262</v>
      </c>
      <c r="U160" s="318"/>
      <c r="V160" s="318"/>
      <c r="W160" s="318"/>
      <c r="X160" s="318"/>
      <c r="Y160" s="318"/>
      <c r="Z160" s="318"/>
      <c r="AA160" s="318"/>
      <c r="AB160" s="318"/>
      <c r="AC160" s="318"/>
      <c r="AD160" s="318"/>
      <c r="AE160" s="318"/>
      <c r="AF160" s="318"/>
      <c r="AG160" s="318"/>
    </row>
    <row r="161" spans="1:33" s="308" customFormat="1" ht="15">
      <c r="A161" s="312">
        <v>194</v>
      </c>
      <c r="C161" s="313" t="s">
        <v>1076</v>
      </c>
      <c r="D161" s="308" t="s">
        <v>433</v>
      </c>
      <c r="F161" s="314" t="s">
        <v>316</v>
      </c>
      <c r="J161" s="315"/>
      <c r="K161" s="315"/>
      <c r="L161" s="314" t="s">
        <v>317</v>
      </c>
      <c r="M161" s="316" t="s">
        <v>315</v>
      </c>
      <c r="N161" s="317" t="s">
        <v>1319</v>
      </c>
      <c r="O161" s="317">
        <v>97.438259</v>
      </c>
      <c r="P161" s="317">
        <v>25.355842</v>
      </c>
      <c r="Q161" s="315">
        <v>132</v>
      </c>
      <c r="R161" s="315">
        <v>132</v>
      </c>
      <c r="S161" s="1">
        <f>Table_CampList[[#This Row],[Total]]/Table_CampList[[#This Row],[HH]]</f>
        <v>1</v>
      </c>
      <c r="T161" s="313" t="s">
        <v>996</v>
      </c>
      <c r="U161" s="318"/>
      <c r="V161" s="318"/>
      <c r="W161" s="318"/>
      <c r="X161" s="318"/>
      <c r="Y161" s="318"/>
      <c r="Z161" s="318"/>
      <c r="AA161" s="318"/>
      <c r="AB161" s="318"/>
      <c r="AC161" s="318"/>
      <c r="AD161" s="318"/>
      <c r="AE161" s="318"/>
      <c r="AF161" s="318"/>
      <c r="AG161" s="318"/>
    </row>
    <row r="162" spans="1:33" s="308" customFormat="1" ht="15">
      <c r="A162" s="312">
        <v>195</v>
      </c>
      <c r="C162" s="313" t="s">
        <v>1076</v>
      </c>
      <c r="D162" s="308" t="s">
        <v>433</v>
      </c>
      <c r="F162" s="314" t="s">
        <v>316</v>
      </c>
      <c r="J162" s="315"/>
      <c r="K162" s="315"/>
      <c r="L162" s="314" t="s">
        <v>361</v>
      </c>
      <c r="M162" s="316" t="s">
        <v>360</v>
      </c>
      <c r="N162" s="317" t="s">
        <v>1323</v>
      </c>
      <c r="O162" s="317">
        <v>97.567117</v>
      </c>
      <c r="P162" s="317">
        <v>24.768383</v>
      </c>
      <c r="Q162" s="315">
        <v>840</v>
      </c>
      <c r="R162" s="315">
        <v>4296</v>
      </c>
      <c r="S162" s="1">
        <f>Table_CampList[[#This Row],[Total]]/Table_CampList[[#This Row],[HH]]</f>
        <v>5.114285714285714</v>
      </c>
      <c r="T162" s="313" t="s">
        <v>1322</v>
      </c>
      <c r="U162" s="318"/>
      <c r="V162" s="318"/>
      <c r="W162" s="318"/>
      <c r="X162" s="318"/>
      <c r="Y162" s="318"/>
      <c r="Z162" s="318"/>
      <c r="AA162" s="318"/>
      <c r="AB162" s="318"/>
      <c r="AC162" s="318"/>
      <c r="AD162" s="318"/>
      <c r="AE162" s="318"/>
      <c r="AF162" s="318"/>
      <c r="AG162" s="318"/>
    </row>
    <row r="163" spans="1:33" s="308" customFormat="1" ht="15">
      <c r="A163" s="312">
        <v>196</v>
      </c>
      <c r="C163" s="313" t="s">
        <v>1076</v>
      </c>
      <c r="D163" s="308" t="s">
        <v>433</v>
      </c>
      <c r="F163" s="314" t="s">
        <v>316</v>
      </c>
      <c r="J163" s="315"/>
      <c r="K163" s="315"/>
      <c r="L163" s="314" t="s">
        <v>365</v>
      </c>
      <c r="M163" s="316" t="s">
        <v>364</v>
      </c>
      <c r="N163" s="317" t="s">
        <v>1323</v>
      </c>
      <c r="O163" s="317">
        <v>97.75679</v>
      </c>
      <c r="P163" s="317">
        <v>25.10667</v>
      </c>
      <c r="Q163" s="315">
        <v>627</v>
      </c>
      <c r="R163" s="315">
        <v>2643</v>
      </c>
      <c r="S163" s="1">
        <f>Table_CampList[[#This Row],[Total]]/Table_CampList[[#This Row],[HH]]</f>
        <v>4.215311004784689</v>
      </c>
      <c r="T163" s="313" t="s">
        <v>1329</v>
      </c>
      <c r="U163" s="318"/>
      <c r="V163" s="318"/>
      <c r="W163" s="318"/>
      <c r="X163" s="318"/>
      <c r="Y163" s="318"/>
      <c r="Z163" s="318"/>
      <c r="AA163" s="318"/>
      <c r="AB163" s="318"/>
      <c r="AC163" s="318"/>
      <c r="AD163" s="318"/>
      <c r="AE163" s="318"/>
      <c r="AF163" s="318"/>
      <c r="AG163" s="318"/>
    </row>
    <row r="164" spans="1:33" s="308" customFormat="1" ht="15">
      <c r="A164" s="312">
        <v>20</v>
      </c>
      <c r="C164" s="313" t="s">
        <v>1330</v>
      </c>
      <c r="D164" s="308" t="s">
        <v>433</v>
      </c>
      <c r="F164" s="314" t="s">
        <v>41</v>
      </c>
      <c r="J164" s="315"/>
      <c r="K164" s="315"/>
      <c r="L164" s="314" t="s">
        <v>132</v>
      </c>
      <c r="M164" s="316" t="s">
        <v>131</v>
      </c>
      <c r="N164" s="317" t="s">
        <v>1319</v>
      </c>
      <c r="O164" s="317">
        <v>96.35955</v>
      </c>
      <c r="P164" s="317">
        <v>25.65865</v>
      </c>
      <c r="Q164" s="315">
        <v>2</v>
      </c>
      <c r="R164" s="315">
        <v>20</v>
      </c>
      <c r="S164" s="1">
        <f>Table_CampList[[#This Row],[Total]]/Table_CampList[[#This Row],[HH]]</f>
        <v>10</v>
      </c>
      <c r="T164" s="313" t="s">
        <v>1320</v>
      </c>
      <c r="U164" s="318"/>
      <c r="V164" s="318"/>
      <c r="W164" s="318"/>
      <c r="X164" s="318"/>
      <c r="Y164" s="318"/>
      <c r="Z164" s="318"/>
      <c r="AA164" s="318"/>
      <c r="AB164" s="318"/>
      <c r="AC164" s="318"/>
      <c r="AD164" s="318"/>
      <c r="AE164" s="318"/>
      <c r="AF164" s="318"/>
      <c r="AG164" s="318"/>
    </row>
    <row r="165" spans="1:33" s="308" customFormat="1" ht="15">
      <c r="A165" s="312">
        <v>25</v>
      </c>
      <c r="C165" s="313" t="s">
        <v>1330</v>
      </c>
      <c r="D165" s="308" t="s">
        <v>433</v>
      </c>
      <c r="F165" s="314" t="s">
        <v>41</v>
      </c>
      <c r="J165" s="315"/>
      <c r="K165" s="315"/>
      <c r="L165" s="314" t="s">
        <v>42</v>
      </c>
      <c r="M165" s="316" t="s">
        <v>40</v>
      </c>
      <c r="N165" s="317" t="s">
        <v>1319</v>
      </c>
      <c r="O165" s="319"/>
      <c r="P165" s="319"/>
      <c r="Q165" s="315" t="s">
        <v>1320</v>
      </c>
      <c r="R165" s="315" t="s">
        <v>1320</v>
      </c>
      <c r="S165" s="1" t="e">
        <f>Table_CampList[[#This Row],[Total]]/Table_CampList[[#This Row],[HH]]</f>
        <v>#VALUE!</v>
      </c>
      <c r="T165" s="313" t="s">
        <v>1320</v>
      </c>
      <c r="U165" s="318"/>
      <c r="V165" s="318"/>
      <c r="W165" s="318"/>
      <c r="X165" s="318"/>
      <c r="Y165" s="318"/>
      <c r="Z165" s="318"/>
      <c r="AA165" s="318"/>
      <c r="AB165" s="318"/>
      <c r="AC165" s="318"/>
      <c r="AD165" s="318"/>
      <c r="AE165" s="318"/>
      <c r="AF165" s="318"/>
      <c r="AG165" s="318"/>
    </row>
    <row r="166" spans="1:33" s="308" customFormat="1" ht="15">
      <c r="A166" s="312">
        <v>27</v>
      </c>
      <c r="C166" s="313" t="s">
        <v>1330</v>
      </c>
      <c r="D166" s="308" t="s">
        <v>433</v>
      </c>
      <c r="F166" s="314" t="s">
        <v>41</v>
      </c>
      <c r="J166" s="315"/>
      <c r="K166" s="315"/>
      <c r="L166" s="314" t="s">
        <v>52</v>
      </c>
      <c r="M166" s="316" t="s">
        <v>51</v>
      </c>
      <c r="N166" s="317" t="s">
        <v>1319</v>
      </c>
      <c r="O166" s="317">
        <v>96.33987</v>
      </c>
      <c r="P166" s="317">
        <v>25.65599</v>
      </c>
      <c r="Q166" s="315">
        <v>3</v>
      </c>
      <c r="R166" s="315">
        <v>11</v>
      </c>
      <c r="S166" s="1">
        <f>Table_CampList[[#This Row],[Total]]/Table_CampList[[#This Row],[HH]]</f>
        <v>3.6666666666666665</v>
      </c>
      <c r="T166" s="313" t="s">
        <v>1320</v>
      </c>
      <c r="U166" s="318"/>
      <c r="V166" s="318"/>
      <c r="W166" s="318"/>
      <c r="X166" s="318"/>
      <c r="Y166" s="318"/>
      <c r="Z166" s="318"/>
      <c r="AA166" s="318"/>
      <c r="AB166" s="318"/>
      <c r="AC166" s="318"/>
      <c r="AD166" s="318"/>
      <c r="AE166" s="318"/>
      <c r="AF166" s="318"/>
      <c r="AG166" s="318"/>
    </row>
    <row r="167" spans="1:33" s="308" customFormat="1" ht="15">
      <c r="A167" s="312">
        <v>28</v>
      </c>
      <c r="C167" s="313" t="s">
        <v>1330</v>
      </c>
      <c r="D167" s="308" t="s">
        <v>433</v>
      </c>
      <c r="F167" s="314" t="s">
        <v>41</v>
      </c>
      <c r="J167" s="315"/>
      <c r="K167" s="315"/>
      <c r="L167" s="314" t="s">
        <v>54</v>
      </c>
      <c r="M167" s="316" t="s">
        <v>53</v>
      </c>
      <c r="N167" s="317" t="s">
        <v>1319</v>
      </c>
      <c r="O167" s="319"/>
      <c r="P167" s="319"/>
      <c r="Q167" s="315" t="s">
        <v>1320</v>
      </c>
      <c r="R167" s="315" t="s">
        <v>1320</v>
      </c>
      <c r="S167" s="1" t="e">
        <f>Table_CampList[[#This Row],[Total]]/Table_CampList[[#This Row],[HH]]</f>
        <v>#VALUE!</v>
      </c>
      <c r="T167" s="313" t="s">
        <v>1320</v>
      </c>
      <c r="U167" s="318"/>
      <c r="V167" s="318"/>
      <c r="W167" s="318"/>
      <c r="X167" s="318"/>
      <c r="Y167" s="318"/>
      <c r="Z167" s="318"/>
      <c r="AA167" s="318"/>
      <c r="AB167" s="318"/>
      <c r="AC167" s="318"/>
      <c r="AD167" s="318"/>
      <c r="AE167" s="318"/>
      <c r="AF167" s="318"/>
      <c r="AG167" s="318"/>
    </row>
    <row r="168" spans="1:33" s="308" customFormat="1" ht="15">
      <c r="A168" s="312">
        <v>33</v>
      </c>
      <c r="C168" s="313" t="s">
        <v>1330</v>
      </c>
      <c r="D168" s="308" t="s">
        <v>433</v>
      </c>
      <c r="F168" s="314" t="s">
        <v>41</v>
      </c>
      <c r="J168" s="315"/>
      <c r="K168" s="315"/>
      <c r="L168" s="314" t="s">
        <v>74</v>
      </c>
      <c r="M168" s="316" t="s">
        <v>73</v>
      </c>
      <c r="N168" s="317" t="s">
        <v>1319</v>
      </c>
      <c r="O168" s="319"/>
      <c r="P168" s="319"/>
      <c r="Q168" s="315">
        <v>23</v>
      </c>
      <c r="R168" s="315">
        <v>64</v>
      </c>
      <c r="S168" s="1">
        <f>Table_CampList[[#This Row],[Total]]/Table_CampList[[#This Row],[HH]]</f>
        <v>2.782608695652174</v>
      </c>
      <c r="T168" s="313" t="s">
        <v>1320</v>
      </c>
      <c r="U168" s="318"/>
      <c r="V168" s="318"/>
      <c r="W168" s="318"/>
      <c r="X168" s="318"/>
      <c r="Y168" s="318"/>
      <c r="Z168" s="318"/>
      <c r="AA168" s="318"/>
      <c r="AB168" s="318"/>
      <c r="AC168" s="318"/>
      <c r="AD168" s="318"/>
      <c r="AE168" s="318"/>
      <c r="AF168" s="318"/>
      <c r="AG168" s="318"/>
    </row>
    <row r="169" spans="1:33" s="308" customFormat="1" ht="15">
      <c r="A169" s="312">
        <v>35</v>
      </c>
      <c r="C169" s="313" t="s">
        <v>1330</v>
      </c>
      <c r="D169" s="308" t="s">
        <v>433</v>
      </c>
      <c r="F169" s="314" t="s">
        <v>41</v>
      </c>
      <c r="J169" s="315"/>
      <c r="K169" s="315"/>
      <c r="L169" s="314" t="s">
        <v>82</v>
      </c>
      <c r="M169" s="316" t="s">
        <v>81</v>
      </c>
      <c r="N169" s="317" t="s">
        <v>1319</v>
      </c>
      <c r="O169" s="319"/>
      <c r="P169" s="319"/>
      <c r="Q169" s="315">
        <v>11</v>
      </c>
      <c r="R169" s="315">
        <v>30</v>
      </c>
      <c r="S169" s="1">
        <f>Table_CampList[[#This Row],[Total]]/Table_CampList[[#This Row],[HH]]</f>
        <v>2.727272727272727</v>
      </c>
      <c r="T169" s="313" t="s">
        <v>1320</v>
      </c>
      <c r="U169" s="318"/>
      <c r="V169" s="318"/>
      <c r="W169" s="318"/>
      <c r="X169" s="318"/>
      <c r="Y169" s="318"/>
      <c r="Z169" s="318"/>
      <c r="AA169" s="318"/>
      <c r="AB169" s="318"/>
      <c r="AC169" s="318"/>
      <c r="AD169" s="318"/>
      <c r="AE169" s="318"/>
      <c r="AF169" s="318"/>
      <c r="AG169" s="318"/>
    </row>
    <row r="170" spans="1:33" s="308" customFormat="1" ht="15">
      <c r="A170" s="312">
        <v>36</v>
      </c>
      <c r="C170" s="313" t="s">
        <v>1330</v>
      </c>
      <c r="D170" s="308" t="s">
        <v>433</v>
      </c>
      <c r="F170" s="314" t="s">
        <v>41</v>
      </c>
      <c r="J170" s="315"/>
      <c r="K170" s="315"/>
      <c r="L170" s="314" t="s">
        <v>86</v>
      </c>
      <c r="M170" s="316" t="s">
        <v>85</v>
      </c>
      <c r="N170" s="317" t="s">
        <v>1319</v>
      </c>
      <c r="O170" s="319"/>
      <c r="P170" s="319"/>
      <c r="Q170" s="315">
        <v>26</v>
      </c>
      <c r="R170" s="315">
        <v>124</v>
      </c>
      <c r="S170" s="1">
        <f>Table_CampList[[#This Row],[Total]]/Table_CampList[[#This Row],[HH]]</f>
        <v>4.769230769230769</v>
      </c>
      <c r="T170" s="313" t="s">
        <v>1320</v>
      </c>
      <c r="U170" s="318"/>
      <c r="V170" s="318"/>
      <c r="W170" s="318"/>
      <c r="X170" s="318"/>
      <c r="Y170" s="318"/>
      <c r="Z170" s="318"/>
      <c r="AA170" s="318"/>
      <c r="AB170" s="318"/>
      <c r="AC170" s="318"/>
      <c r="AD170" s="318"/>
      <c r="AE170" s="318"/>
      <c r="AF170" s="318"/>
      <c r="AG170" s="318"/>
    </row>
    <row r="171" spans="1:33" s="308" customFormat="1" ht="15">
      <c r="A171" s="312">
        <v>39</v>
      </c>
      <c r="C171" s="313" t="s">
        <v>1330</v>
      </c>
      <c r="D171" s="308" t="s">
        <v>433</v>
      </c>
      <c r="F171" s="314" t="s">
        <v>41</v>
      </c>
      <c r="J171" s="315"/>
      <c r="K171" s="315"/>
      <c r="L171" s="314" t="s">
        <v>60</v>
      </c>
      <c r="M171" s="316" t="s">
        <v>59</v>
      </c>
      <c r="N171" s="317" t="s">
        <v>1319</v>
      </c>
      <c r="O171" s="319"/>
      <c r="P171" s="319"/>
      <c r="Q171" s="315" t="s">
        <v>1320</v>
      </c>
      <c r="R171" s="315" t="s">
        <v>1320</v>
      </c>
      <c r="S171" s="1" t="e">
        <f>Table_CampList[[#This Row],[Total]]/Table_CampList[[#This Row],[HH]]</f>
        <v>#VALUE!</v>
      </c>
      <c r="T171" s="313" t="s">
        <v>996</v>
      </c>
      <c r="U171" s="318"/>
      <c r="V171" s="318"/>
      <c r="W171" s="318"/>
      <c r="X171" s="318"/>
      <c r="Y171" s="318"/>
      <c r="Z171" s="318"/>
      <c r="AA171" s="318"/>
      <c r="AB171" s="318"/>
      <c r="AC171" s="318"/>
      <c r="AD171" s="318"/>
      <c r="AE171" s="318"/>
      <c r="AF171" s="318"/>
      <c r="AG171" s="318"/>
    </row>
    <row r="172" spans="1:33" s="308" customFormat="1" ht="15">
      <c r="A172" s="312">
        <v>42</v>
      </c>
      <c r="C172" s="313" t="s">
        <v>1330</v>
      </c>
      <c r="D172" s="308" t="s">
        <v>433</v>
      </c>
      <c r="F172" s="314" t="s">
        <v>41</v>
      </c>
      <c r="J172" s="315"/>
      <c r="K172" s="315"/>
      <c r="L172" s="314" t="s">
        <v>98</v>
      </c>
      <c r="M172" s="316" t="s">
        <v>97</v>
      </c>
      <c r="N172" s="317" t="s">
        <v>1319</v>
      </c>
      <c r="O172" s="319"/>
      <c r="P172" s="319"/>
      <c r="Q172" s="315" t="s">
        <v>1320</v>
      </c>
      <c r="R172" s="315" t="s">
        <v>1320</v>
      </c>
      <c r="S172" s="1" t="e">
        <f>Table_CampList[[#This Row],[Total]]/Table_CampList[[#This Row],[HH]]</f>
        <v>#VALUE!</v>
      </c>
      <c r="T172" s="313" t="s">
        <v>1320</v>
      </c>
      <c r="U172" s="318"/>
      <c r="V172" s="318"/>
      <c r="W172" s="318"/>
      <c r="X172" s="318"/>
      <c r="Y172" s="318"/>
      <c r="Z172" s="318"/>
      <c r="AA172" s="318"/>
      <c r="AB172" s="318"/>
      <c r="AC172" s="318"/>
      <c r="AD172" s="318"/>
      <c r="AE172" s="318"/>
      <c r="AF172" s="318"/>
      <c r="AG172" s="318"/>
    </row>
    <row r="173" spans="1:33" s="308" customFormat="1" ht="15">
      <c r="A173" s="312">
        <v>43</v>
      </c>
      <c r="C173" s="313" t="s">
        <v>1330</v>
      </c>
      <c r="D173" s="308" t="s">
        <v>433</v>
      </c>
      <c r="F173" s="314" t="s">
        <v>41</v>
      </c>
      <c r="J173" s="315"/>
      <c r="K173" s="315"/>
      <c r="L173" s="314" t="s">
        <v>58</v>
      </c>
      <c r="M173" s="316" t="s">
        <v>57</v>
      </c>
      <c r="N173" s="317" t="s">
        <v>1319</v>
      </c>
      <c r="O173" s="317">
        <v>96.310928</v>
      </c>
      <c r="P173" s="317">
        <v>25.60918</v>
      </c>
      <c r="Q173" s="315">
        <v>25</v>
      </c>
      <c r="R173" s="315">
        <v>110</v>
      </c>
      <c r="S173" s="1">
        <f>Table_CampList[[#This Row],[Total]]/Table_CampList[[#This Row],[HH]]</f>
        <v>4.4</v>
      </c>
      <c r="T173" s="313" t="s">
        <v>996</v>
      </c>
      <c r="U173" s="318"/>
      <c r="V173" s="318"/>
      <c r="W173" s="318"/>
      <c r="X173" s="318"/>
      <c r="Y173" s="318"/>
      <c r="Z173" s="318"/>
      <c r="AA173" s="318"/>
      <c r="AB173" s="318"/>
      <c r="AC173" s="318"/>
      <c r="AD173" s="318"/>
      <c r="AE173" s="318"/>
      <c r="AF173" s="318"/>
      <c r="AG173" s="318"/>
    </row>
    <row r="174" spans="1:33" s="308" customFormat="1" ht="15">
      <c r="A174" s="312">
        <v>44</v>
      </c>
      <c r="C174" s="313" t="s">
        <v>1330</v>
      </c>
      <c r="D174" s="308" t="s">
        <v>433</v>
      </c>
      <c r="F174" s="314" t="s">
        <v>41</v>
      </c>
      <c r="J174" s="315"/>
      <c r="K174" s="315"/>
      <c r="L174" s="314" t="s">
        <v>70</v>
      </c>
      <c r="M174" s="316" t="s">
        <v>69</v>
      </c>
      <c r="N174" s="317" t="s">
        <v>1319</v>
      </c>
      <c r="O174" s="319"/>
      <c r="P174" s="319"/>
      <c r="Q174" s="315" t="s">
        <v>1320</v>
      </c>
      <c r="R174" s="315" t="s">
        <v>1320</v>
      </c>
      <c r="S174" s="1" t="e">
        <f>Table_CampList[[#This Row],[Total]]/Table_CampList[[#This Row],[HH]]</f>
        <v>#VALUE!</v>
      </c>
      <c r="T174" s="313" t="s">
        <v>1320</v>
      </c>
      <c r="U174" s="318"/>
      <c r="V174" s="318"/>
      <c r="W174" s="318"/>
      <c r="X174" s="318"/>
      <c r="Y174" s="318"/>
      <c r="Z174" s="318"/>
      <c r="AA174" s="318"/>
      <c r="AB174" s="318"/>
      <c r="AC174" s="318"/>
      <c r="AD174" s="318"/>
      <c r="AE174" s="318"/>
      <c r="AF174" s="318"/>
      <c r="AG174" s="318"/>
    </row>
    <row r="175" spans="1:33" s="308" customFormat="1" ht="15">
      <c r="A175" s="312">
        <v>45</v>
      </c>
      <c r="C175" s="313" t="s">
        <v>1330</v>
      </c>
      <c r="D175" s="308" t="s">
        <v>433</v>
      </c>
      <c r="F175" s="314" t="s">
        <v>41</v>
      </c>
      <c r="J175" s="315"/>
      <c r="K175" s="315"/>
      <c r="L175" s="314" t="s">
        <v>84</v>
      </c>
      <c r="M175" s="316" t="s">
        <v>83</v>
      </c>
      <c r="N175" s="317" t="s">
        <v>1319</v>
      </c>
      <c r="O175" s="319"/>
      <c r="P175" s="319"/>
      <c r="Q175" s="315" t="s">
        <v>1320</v>
      </c>
      <c r="R175" s="315" t="s">
        <v>1320</v>
      </c>
      <c r="S175" s="1" t="e">
        <f>Table_CampList[[#This Row],[Total]]/Table_CampList[[#This Row],[HH]]</f>
        <v>#VALUE!</v>
      </c>
      <c r="T175" s="313" t="s">
        <v>1320</v>
      </c>
      <c r="U175" s="318"/>
      <c r="V175" s="318"/>
      <c r="W175" s="318"/>
      <c r="X175" s="318"/>
      <c r="Y175" s="318"/>
      <c r="Z175" s="318"/>
      <c r="AA175" s="318"/>
      <c r="AB175" s="318"/>
      <c r="AC175" s="318"/>
      <c r="AD175" s="318"/>
      <c r="AE175" s="318"/>
      <c r="AF175" s="318"/>
      <c r="AG175" s="318"/>
    </row>
    <row r="176" spans="1:33" s="308" customFormat="1" ht="15">
      <c r="A176" s="312">
        <v>46</v>
      </c>
      <c r="C176" s="313" t="s">
        <v>1330</v>
      </c>
      <c r="D176" s="308" t="s">
        <v>433</v>
      </c>
      <c r="F176" s="314" t="s">
        <v>41</v>
      </c>
      <c r="J176" s="315"/>
      <c r="K176" s="315"/>
      <c r="L176" s="314" t="s">
        <v>106</v>
      </c>
      <c r="M176" s="316" t="s">
        <v>105</v>
      </c>
      <c r="N176" s="317" t="s">
        <v>1319</v>
      </c>
      <c r="O176" s="319"/>
      <c r="P176" s="319"/>
      <c r="Q176" s="315" t="s">
        <v>1320</v>
      </c>
      <c r="R176" s="315" t="s">
        <v>1320</v>
      </c>
      <c r="S176" s="1" t="e">
        <f>Table_CampList[[#This Row],[Total]]/Table_CampList[[#This Row],[HH]]</f>
        <v>#VALUE!</v>
      </c>
      <c r="T176" s="313" t="s">
        <v>1320</v>
      </c>
      <c r="U176" s="318"/>
      <c r="V176" s="318"/>
      <c r="W176" s="318"/>
      <c r="X176" s="318"/>
      <c r="Y176" s="318"/>
      <c r="Z176" s="318"/>
      <c r="AA176" s="318"/>
      <c r="AB176" s="318"/>
      <c r="AC176" s="318"/>
      <c r="AD176" s="318"/>
      <c r="AE176" s="318"/>
      <c r="AF176" s="318"/>
      <c r="AG176" s="318"/>
    </row>
    <row r="177" spans="1:33" s="308" customFormat="1" ht="15">
      <c r="A177" s="312">
        <v>47</v>
      </c>
      <c r="C177" s="313" t="s">
        <v>1330</v>
      </c>
      <c r="D177" s="308" t="s">
        <v>433</v>
      </c>
      <c r="F177" s="314" t="s">
        <v>41</v>
      </c>
      <c r="J177" s="315"/>
      <c r="K177" s="315"/>
      <c r="L177" s="314" t="s">
        <v>110</v>
      </c>
      <c r="M177" s="316" t="s">
        <v>109</v>
      </c>
      <c r="N177" s="317" t="s">
        <v>1319</v>
      </c>
      <c r="O177" s="319"/>
      <c r="P177" s="319"/>
      <c r="Q177" s="315" t="s">
        <v>1320</v>
      </c>
      <c r="R177" s="315" t="s">
        <v>1320</v>
      </c>
      <c r="S177" s="1" t="e">
        <f>Table_CampList[[#This Row],[Total]]/Table_CampList[[#This Row],[HH]]</f>
        <v>#VALUE!</v>
      </c>
      <c r="T177" s="313" t="s">
        <v>1320</v>
      </c>
      <c r="U177" s="318"/>
      <c r="V177" s="318"/>
      <c r="W177" s="318"/>
      <c r="X177" s="318"/>
      <c r="Y177" s="318"/>
      <c r="Z177" s="318"/>
      <c r="AA177" s="318"/>
      <c r="AB177" s="318"/>
      <c r="AC177" s="318"/>
      <c r="AD177" s="318"/>
      <c r="AE177" s="318"/>
      <c r="AF177" s="318"/>
      <c r="AG177" s="318"/>
    </row>
    <row r="178" spans="1:33" s="308" customFormat="1" ht="15">
      <c r="A178" s="312">
        <v>48</v>
      </c>
      <c r="C178" s="313" t="s">
        <v>1330</v>
      </c>
      <c r="D178" s="308" t="s">
        <v>433</v>
      </c>
      <c r="F178" s="314" t="s">
        <v>41</v>
      </c>
      <c r="J178" s="315"/>
      <c r="K178" s="315"/>
      <c r="L178" s="314" t="s">
        <v>120</v>
      </c>
      <c r="M178" s="316" t="s">
        <v>119</v>
      </c>
      <c r="N178" s="317" t="s">
        <v>1319</v>
      </c>
      <c r="O178" s="319"/>
      <c r="P178" s="319"/>
      <c r="Q178" s="315" t="s">
        <v>1320</v>
      </c>
      <c r="R178" s="315" t="s">
        <v>1320</v>
      </c>
      <c r="S178" s="1" t="e">
        <f>Table_CampList[[#This Row],[Total]]/Table_CampList[[#This Row],[HH]]</f>
        <v>#VALUE!</v>
      </c>
      <c r="T178" s="313" t="s">
        <v>1320</v>
      </c>
      <c r="U178" s="318"/>
      <c r="V178" s="318"/>
      <c r="W178" s="318"/>
      <c r="X178" s="318"/>
      <c r="Y178" s="318"/>
      <c r="Z178" s="318"/>
      <c r="AA178" s="318"/>
      <c r="AB178" s="318"/>
      <c r="AC178" s="318"/>
      <c r="AD178" s="318"/>
      <c r="AE178" s="318"/>
      <c r="AF178" s="318"/>
      <c r="AG178" s="318"/>
    </row>
    <row r="179" spans="1:33" s="308" customFormat="1" ht="15">
      <c r="A179" s="312">
        <v>49</v>
      </c>
      <c r="C179" s="313" t="s">
        <v>1330</v>
      </c>
      <c r="D179" s="308" t="s">
        <v>433</v>
      </c>
      <c r="F179" s="314" t="s">
        <v>41</v>
      </c>
      <c r="J179" s="315"/>
      <c r="K179" s="315"/>
      <c r="L179" s="314" t="s">
        <v>134</v>
      </c>
      <c r="M179" s="316" t="s">
        <v>133</v>
      </c>
      <c r="N179" s="317" t="s">
        <v>1319</v>
      </c>
      <c r="O179" s="319"/>
      <c r="P179" s="319"/>
      <c r="Q179" s="315" t="s">
        <v>1320</v>
      </c>
      <c r="R179" s="315" t="s">
        <v>1320</v>
      </c>
      <c r="S179" s="1" t="e">
        <f>Table_CampList[[#This Row],[Total]]/Table_CampList[[#This Row],[HH]]</f>
        <v>#VALUE!</v>
      </c>
      <c r="T179" s="313" t="s">
        <v>1320</v>
      </c>
      <c r="U179" s="318"/>
      <c r="V179" s="318"/>
      <c r="W179" s="318"/>
      <c r="X179" s="318"/>
      <c r="Y179" s="318"/>
      <c r="Z179" s="318"/>
      <c r="AA179" s="318"/>
      <c r="AB179" s="318"/>
      <c r="AC179" s="318"/>
      <c r="AD179" s="318"/>
      <c r="AE179" s="318"/>
      <c r="AF179" s="318"/>
      <c r="AG179" s="318"/>
    </row>
    <row r="180" spans="1:33" s="308" customFormat="1" ht="15">
      <c r="A180" s="312">
        <v>50</v>
      </c>
      <c r="C180" s="313" t="s">
        <v>1330</v>
      </c>
      <c r="D180" s="308" t="s">
        <v>433</v>
      </c>
      <c r="F180" s="314" t="s">
        <v>41</v>
      </c>
      <c r="J180" s="315"/>
      <c r="K180" s="315"/>
      <c r="L180" s="314" t="s">
        <v>142</v>
      </c>
      <c r="M180" s="316" t="s">
        <v>141</v>
      </c>
      <c r="N180" s="317" t="s">
        <v>1319</v>
      </c>
      <c r="O180" s="319"/>
      <c r="P180" s="319"/>
      <c r="Q180" s="315" t="s">
        <v>1320</v>
      </c>
      <c r="R180" s="315" t="s">
        <v>1320</v>
      </c>
      <c r="S180" s="1" t="e">
        <f>Table_CampList[[#This Row],[Total]]/Table_CampList[[#This Row],[HH]]</f>
        <v>#VALUE!</v>
      </c>
      <c r="T180" s="313" t="s">
        <v>1320</v>
      </c>
      <c r="U180" s="318"/>
      <c r="V180" s="318"/>
      <c r="W180" s="318"/>
      <c r="X180" s="318"/>
      <c r="Y180" s="318"/>
      <c r="Z180" s="318"/>
      <c r="AA180" s="318"/>
      <c r="AB180" s="318"/>
      <c r="AC180" s="318"/>
      <c r="AD180" s="318"/>
      <c r="AE180" s="318"/>
      <c r="AF180" s="318"/>
      <c r="AG180" s="318"/>
    </row>
    <row r="181" spans="1:33" s="308" customFormat="1" ht="15">
      <c r="A181" s="312">
        <v>51</v>
      </c>
      <c r="C181" s="313" t="s">
        <v>1330</v>
      </c>
      <c r="D181" s="308" t="s">
        <v>433</v>
      </c>
      <c r="F181" s="314" t="s">
        <v>41</v>
      </c>
      <c r="J181" s="315"/>
      <c r="K181" s="315"/>
      <c r="L181" s="314" t="s">
        <v>140</v>
      </c>
      <c r="M181" s="316" t="s">
        <v>139</v>
      </c>
      <c r="N181" s="317" t="s">
        <v>1319</v>
      </c>
      <c r="O181" s="317">
        <v>96.34335</v>
      </c>
      <c r="P181" s="317">
        <v>25.6447</v>
      </c>
      <c r="Q181" s="315" t="s">
        <v>1320</v>
      </c>
      <c r="R181" s="315" t="s">
        <v>1320</v>
      </c>
      <c r="S181" s="1" t="e">
        <f>Table_CampList[[#This Row],[Total]]/Table_CampList[[#This Row],[HH]]</f>
        <v>#VALUE!</v>
      </c>
      <c r="T181" s="313" t="s">
        <v>1320</v>
      </c>
      <c r="U181" s="318"/>
      <c r="V181" s="318"/>
      <c r="W181" s="318"/>
      <c r="X181" s="318"/>
      <c r="Y181" s="318"/>
      <c r="Z181" s="318"/>
      <c r="AA181" s="318"/>
      <c r="AB181" s="318"/>
      <c r="AC181" s="318"/>
      <c r="AD181" s="318"/>
      <c r="AE181" s="318"/>
      <c r="AF181" s="318"/>
      <c r="AG181" s="318"/>
    </row>
    <row r="182" spans="1:33" s="308" customFormat="1" ht="15">
      <c r="A182" s="312">
        <v>52</v>
      </c>
      <c r="C182" s="313" t="s">
        <v>1330</v>
      </c>
      <c r="D182" s="308" t="s">
        <v>433</v>
      </c>
      <c r="F182" s="314" t="s">
        <v>41</v>
      </c>
      <c r="J182" s="315"/>
      <c r="K182" s="315"/>
      <c r="L182" s="314" t="s">
        <v>72</v>
      </c>
      <c r="M182" s="316" t="s">
        <v>71</v>
      </c>
      <c r="N182" s="317" t="s">
        <v>1319</v>
      </c>
      <c r="O182" s="319"/>
      <c r="P182" s="319"/>
      <c r="Q182" s="315" t="s">
        <v>1320</v>
      </c>
      <c r="R182" s="315" t="s">
        <v>1320</v>
      </c>
      <c r="S182" s="1" t="e">
        <f>Table_CampList[[#This Row],[Total]]/Table_CampList[[#This Row],[HH]]</f>
        <v>#VALUE!</v>
      </c>
      <c r="T182" s="313" t="s">
        <v>1320</v>
      </c>
      <c r="U182" s="318"/>
      <c r="V182" s="318"/>
      <c r="W182" s="318"/>
      <c r="X182" s="318"/>
      <c r="Y182" s="318"/>
      <c r="Z182" s="318"/>
      <c r="AA182" s="318"/>
      <c r="AB182" s="318"/>
      <c r="AC182" s="318"/>
      <c r="AD182" s="318"/>
      <c r="AE182" s="318"/>
      <c r="AF182" s="318"/>
      <c r="AG182" s="318"/>
    </row>
    <row r="183" spans="1:33" s="308" customFormat="1" ht="15">
      <c r="A183" s="312">
        <v>53</v>
      </c>
      <c r="C183" s="313" t="s">
        <v>1330</v>
      </c>
      <c r="D183" s="308" t="s">
        <v>433</v>
      </c>
      <c r="F183" s="314" t="s">
        <v>41</v>
      </c>
      <c r="J183" s="315"/>
      <c r="K183" s="315"/>
      <c r="L183" s="314" t="s">
        <v>88</v>
      </c>
      <c r="M183" s="316" t="s">
        <v>87</v>
      </c>
      <c r="N183" s="317" t="s">
        <v>1319</v>
      </c>
      <c r="O183" s="317">
        <v>96.316211</v>
      </c>
      <c r="P183" s="317">
        <v>25.619221</v>
      </c>
      <c r="Q183" s="315">
        <v>70</v>
      </c>
      <c r="R183" s="315">
        <v>324</v>
      </c>
      <c r="S183" s="1">
        <f>Table_CampList[[#This Row],[Total]]/Table_CampList[[#This Row],[HH]]</f>
        <v>4.628571428571429</v>
      </c>
      <c r="T183" s="313" t="s">
        <v>1320</v>
      </c>
      <c r="U183" s="318"/>
      <c r="V183" s="318"/>
      <c r="W183" s="318"/>
      <c r="X183" s="318"/>
      <c r="Y183" s="318"/>
      <c r="Z183" s="318"/>
      <c r="AA183" s="318"/>
      <c r="AB183" s="318"/>
      <c r="AC183" s="318"/>
      <c r="AD183" s="318"/>
      <c r="AE183" s="318"/>
      <c r="AF183" s="318"/>
      <c r="AG183" s="318"/>
    </row>
    <row r="184" spans="1:33" s="308" customFormat="1" ht="15">
      <c r="A184" s="312">
        <v>54</v>
      </c>
      <c r="C184" s="313" t="s">
        <v>1330</v>
      </c>
      <c r="D184" s="308" t="s">
        <v>433</v>
      </c>
      <c r="F184" s="314" t="s">
        <v>41</v>
      </c>
      <c r="J184" s="315"/>
      <c r="K184" s="315"/>
      <c r="L184" s="314" t="s">
        <v>90</v>
      </c>
      <c r="M184" s="316" t="s">
        <v>89</v>
      </c>
      <c r="N184" s="317" t="s">
        <v>1319</v>
      </c>
      <c r="O184" s="319"/>
      <c r="P184" s="319"/>
      <c r="Q184" s="315" t="s">
        <v>1320</v>
      </c>
      <c r="R184" s="315" t="s">
        <v>1320</v>
      </c>
      <c r="S184" s="1" t="e">
        <f>Table_CampList[[#This Row],[Total]]/Table_CampList[[#This Row],[HH]]</f>
        <v>#VALUE!</v>
      </c>
      <c r="T184" s="313" t="s">
        <v>1320</v>
      </c>
      <c r="U184" s="318"/>
      <c r="V184" s="318"/>
      <c r="W184" s="318"/>
      <c r="X184" s="318"/>
      <c r="Y184" s="318"/>
      <c r="Z184" s="318"/>
      <c r="AA184" s="318"/>
      <c r="AB184" s="318"/>
      <c r="AC184" s="318"/>
      <c r="AD184" s="318"/>
      <c r="AE184" s="318"/>
      <c r="AF184" s="318"/>
      <c r="AG184" s="318"/>
    </row>
    <row r="185" spans="1:33" s="308" customFormat="1" ht="15">
      <c r="A185" s="312">
        <v>56</v>
      </c>
      <c r="C185" s="313" t="s">
        <v>1330</v>
      </c>
      <c r="D185" s="308" t="s">
        <v>433</v>
      </c>
      <c r="F185" s="314" t="s">
        <v>41</v>
      </c>
      <c r="J185" s="315"/>
      <c r="K185" s="315"/>
      <c r="L185" s="314" t="s">
        <v>108</v>
      </c>
      <c r="M185" s="316" t="s">
        <v>107</v>
      </c>
      <c r="N185" s="317" t="s">
        <v>1319</v>
      </c>
      <c r="O185" s="319"/>
      <c r="P185" s="319"/>
      <c r="Q185" s="315" t="s">
        <v>1320</v>
      </c>
      <c r="R185" s="315" t="s">
        <v>1320</v>
      </c>
      <c r="S185" s="1" t="e">
        <f>Table_CampList[[#This Row],[Total]]/Table_CampList[[#This Row],[HH]]</f>
        <v>#VALUE!</v>
      </c>
      <c r="T185" s="313" t="s">
        <v>1320</v>
      </c>
      <c r="U185" s="318"/>
      <c r="V185" s="318"/>
      <c r="W185" s="318"/>
      <c r="X185" s="318"/>
      <c r="Y185" s="318"/>
      <c r="Z185" s="318"/>
      <c r="AA185" s="318"/>
      <c r="AB185" s="318"/>
      <c r="AC185" s="318"/>
      <c r="AD185" s="318"/>
      <c r="AE185" s="318"/>
      <c r="AF185" s="318"/>
      <c r="AG185" s="318"/>
    </row>
    <row r="186" spans="1:33" s="308" customFormat="1" ht="15">
      <c r="A186" s="312">
        <v>57</v>
      </c>
      <c r="C186" s="313" t="s">
        <v>1330</v>
      </c>
      <c r="D186" s="308" t="s">
        <v>433</v>
      </c>
      <c r="F186" s="314" t="s">
        <v>41</v>
      </c>
      <c r="J186" s="315"/>
      <c r="K186" s="315"/>
      <c r="L186" s="314" t="s">
        <v>102</v>
      </c>
      <c r="M186" s="316" t="s">
        <v>101</v>
      </c>
      <c r="N186" s="317" t="s">
        <v>1319</v>
      </c>
      <c r="O186" s="317">
        <v>96.35931</v>
      </c>
      <c r="P186" s="317">
        <v>25.65144</v>
      </c>
      <c r="Q186" s="315" t="s">
        <v>1320</v>
      </c>
      <c r="R186" s="315" t="s">
        <v>1320</v>
      </c>
      <c r="S186" s="1" t="e">
        <f>Table_CampList[[#This Row],[Total]]/Table_CampList[[#This Row],[HH]]</f>
        <v>#VALUE!</v>
      </c>
      <c r="T186" s="313" t="s">
        <v>1320</v>
      </c>
      <c r="U186" s="318"/>
      <c r="V186" s="318"/>
      <c r="W186" s="318"/>
      <c r="X186" s="318"/>
      <c r="Y186" s="318"/>
      <c r="Z186" s="318"/>
      <c r="AA186" s="318"/>
      <c r="AB186" s="318"/>
      <c r="AC186" s="318"/>
      <c r="AD186" s="318"/>
      <c r="AE186" s="318"/>
      <c r="AF186" s="318"/>
      <c r="AG186" s="318"/>
    </row>
    <row r="187" spans="1:33" s="308" customFormat="1" ht="15">
      <c r="A187" s="312">
        <v>61</v>
      </c>
      <c r="C187" s="313" t="s">
        <v>1330</v>
      </c>
      <c r="D187" s="308" t="s">
        <v>433</v>
      </c>
      <c r="F187" s="314" t="s">
        <v>41</v>
      </c>
      <c r="J187" s="315"/>
      <c r="K187" s="315"/>
      <c r="L187" s="314" t="s">
        <v>116</v>
      </c>
      <c r="M187" s="316" t="s">
        <v>115</v>
      </c>
      <c r="N187" s="317" t="s">
        <v>1319</v>
      </c>
      <c r="O187" s="317">
        <v>96.31326</v>
      </c>
      <c r="P187" s="317">
        <v>25.6119</v>
      </c>
      <c r="Q187" s="315" t="s">
        <v>1320</v>
      </c>
      <c r="R187" s="315" t="s">
        <v>1320</v>
      </c>
      <c r="S187" s="1" t="e">
        <f>Table_CampList[[#This Row],[Total]]/Table_CampList[[#This Row],[HH]]</f>
        <v>#VALUE!</v>
      </c>
      <c r="T187" s="313" t="s">
        <v>1320</v>
      </c>
      <c r="U187" s="318"/>
      <c r="V187" s="318"/>
      <c r="W187" s="318"/>
      <c r="X187" s="318"/>
      <c r="Y187" s="318"/>
      <c r="Z187" s="318"/>
      <c r="AA187" s="318"/>
      <c r="AB187" s="318"/>
      <c r="AC187" s="318"/>
      <c r="AD187" s="318"/>
      <c r="AE187" s="318"/>
      <c r="AF187" s="318"/>
      <c r="AG187" s="318"/>
    </row>
    <row r="188" spans="1:33" s="308" customFormat="1" ht="15">
      <c r="A188" s="312">
        <v>62</v>
      </c>
      <c r="C188" s="313" t="s">
        <v>1330</v>
      </c>
      <c r="D188" s="308" t="s">
        <v>433</v>
      </c>
      <c r="F188" s="314" t="s">
        <v>41</v>
      </c>
      <c r="J188" s="315"/>
      <c r="K188" s="315"/>
      <c r="L188" s="314" t="s">
        <v>118</v>
      </c>
      <c r="M188" s="316" t="s">
        <v>117</v>
      </c>
      <c r="N188" s="317" t="s">
        <v>1319</v>
      </c>
      <c r="O188" s="319"/>
      <c r="P188" s="319"/>
      <c r="Q188" s="315" t="s">
        <v>1320</v>
      </c>
      <c r="R188" s="315" t="s">
        <v>1320</v>
      </c>
      <c r="S188" s="1" t="e">
        <f>Table_CampList[[#This Row],[Total]]/Table_CampList[[#This Row],[HH]]</f>
        <v>#VALUE!</v>
      </c>
      <c r="T188" s="313" t="s">
        <v>1320</v>
      </c>
      <c r="U188" s="318"/>
      <c r="V188" s="318"/>
      <c r="W188" s="318"/>
      <c r="X188" s="318"/>
      <c r="Y188" s="318"/>
      <c r="Z188" s="318"/>
      <c r="AA188" s="318"/>
      <c r="AB188" s="318"/>
      <c r="AC188" s="318"/>
      <c r="AD188" s="318"/>
      <c r="AE188" s="318"/>
      <c r="AF188" s="318"/>
      <c r="AG188" s="318"/>
    </row>
    <row r="189" spans="1:33" s="308" customFormat="1" ht="15">
      <c r="A189" s="312">
        <v>64</v>
      </c>
      <c r="C189" s="313" t="s">
        <v>1330</v>
      </c>
      <c r="D189" s="308" t="s">
        <v>433</v>
      </c>
      <c r="F189" s="314" t="s">
        <v>41</v>
      </c>
      <c r="J189" s="315"/>
      <c r="K189" s="315"/>
      <c r="L189" s="314" t="s">
        <v>126</v>
      </c>
      <c r="M189" s="316" t="s">
        <v>125</v>
      </c>
      <c r="N189" s="317" t="s">
        <v>1319</v>
      </c>
      <c r="O189" s="319"/>
      <c r="P189" s="319"/>
      <c r="Q189" s="315" t="s">
        <v>1320</v>
      </c>
      <c r="R189" s="315" t="s">
        <v>1320</v>
      </c>
      <c r="S189" s="1" t="e">
        <f>Table_CampList[[#This Row],[Total]]/Table_CampList[[#This Row],[HH]]</f>
        <v>#VALUE!</v>
      </c>
      <c r="T189" s="313" t="s">
        <v>1320</v>
      </c>
      <c r="U189" s="318"/>
      <c r="V189" s="318"/>
      <c r="W189" s="318"/>
      <c r="X189" s="318"/>
      <c r="Y189" s="318"/>
      <c r="Z189" s="318"/>
      <c r="AA189" s="318"/>
      <c r="AB189" s="318"/>
      <c r="AC189" s="318"/>
      <c r="AD189" s="318"/>
      <c r="AE189" s="318"/>
      <c r="AF189" s="318"/>
      <c r="AG189" s="318"/>
    </row>
    <row r="190" spans="1:33" s="308" customFormat="1" ht="15">
      <c r="A190" s="312">
        <v>66</v>
      </c>
      <c r="C190" s="313" t="s">
        <v>1330</v>
      </c>
      <c r="D190" s="308" t="s">
        <v>433</v>
      </c>
      <c r="F190" s="314" t="s">
        <v>41</v>
      </c>
      <c r="J190" s="315"/>
      <c r="K190" s="315"/>
      <c r="L190" s="314" t="s">
        <v>100</v>
      </c>
      <c r="M190" s="316" t="s">
        <v>99</v>
      </c>
      <c r="N190" s="317" t="s">
        <v>1319</v>
      </c>
      <c r="O190" s="319"/>
      <c r="P190" s="319"/>
      <c r="Q190" s="315" t="s">
        <v>1320</v>
      </c>
      <c r="R190" s="315" t="s">
        <v>1320</v>
      </c>
      <c r="S190" s="1" t="e">
        <f>Table_CampList[[#This Row],[Total]]/Table_CampList[[#This Row],[HH]]</f>
        <v>#VALUE!</v>
      </c>
      <c r="T190" s="313" t="s">
        <v>1320</v>
      </c>
      <c r="U190" s="318"/>
      <c r="V190" s="318"/>
      <c r="W190" s="318"/>
      <c r="X190" s="318"/>
      <c r="Y190" s="318"/>
      <c r="Z190" s="318"/>
      <c r="AA190" s="318"/>
      <c r="AB190" s="318"/>
      <c r="AC190" s="318"/>
      <c r="AD190" s="318"/>
      <c r="AE190" s="318"/>
      <c r="AF190" s="318"/>
      <c r="AG190" s="318"/>
    </row>
    <row r="191" spans="1:33" s="308" customFormat="1" ht="15">
      <c r="A191" s="312">
        <v>67</v>
      </c>
      <c r="C191" s="313" t="s">
        <v>1330</v>
      </c>
      <c r="D191" s="308" t="s">
        <v>433</v>
      </c>
      <c r="F191" s="314" t="s">
        <v>41</v>
      </c>
      <c r="J191" s="315"/>
      <c r="K191" s="315"/>
      <c r="L191" s="314" t="s">
        <v>136</v>
      </c>
      <c r="M191" s="316" t="s">
        <v>135</v>
      </c>
      <c r="N191" s="317" t="s">
        <v>1319</v>
      </c>
      <c r="O191" s="319"/>
      <c r="P191" s="319"/>
      <c r="Q191" s="315" t="s">
        <v>1320</v>
      </c>
      <c r="R191" s="315" t="s">
        <v>1320</v>
      </c>
      <c r="S191" s="1" t="e">
        <f>Table_CampList[[#This Row],[Total]]/Table_CampList[[#This Row],[HH]]</f>
        <v>#VALUE!</v>
      </c>
      <c r="T191" s="313" t="s">
        <v>1320</v>
      </c>
      <c r="U191" s="318"/>
      <c r="V191" s="318"/>
      <c r="W191" s="318"/>
      <c r="X191" s="318"/>
      <c r="Y191" s="318"/>
      <c r="Z191" s="318"/>
      <c r="AA191" s="318"/>
      <c r="AB191" s="318"/>
      <c r="AC191" s="318"/>
      <c r="AD191" s="318"/>
      <c r="AE191" s="318"/>
      <c r="AF191" s="318"/>
      <c r="AG191" s="318"/>
    </row>
    <row r="192" spans="1:33" s="308" customFormat="1" ht="15">
      <c r="A192" s="312">
        <v>68</v>
      </c>
      <c r="C192" s="313" t="s">
        <v>1330</v>
      </c>
      <c r="D192" s="308" t="s">
        <v>433</v>
      </c>
      <c r="F192" s="314" t="s">
        <v>41</v>
      </c>
      <c r="J192" s="315"/>
      <c r="K192" s="315"/>
      <c r="L192" s="314" t="s">
        <v>138</v>
      </c>
      <c r="M192" s="316" t="s">
        <v>137</v>
      </c>
      <c r="N192" s="317" t="s">
        <v>1319</v>
      </c>
      <c r="O192" s="319"/>
      <c r="P192" s="319"/>
      <c r="Q192" s="315" t="s">
        <v>1320</v>
      </c>
      <c r="R192" s="315" t="s">
        <v>1320</v>
      </c>
      <c r="S192" s="1" t="e">
        <f>Table_CampList[[#This Row],[Total]]/Table_CampList[[#This Row],[HH]]</f>
        <v>#VALUE!</v>
      </c>
      <c r="T192" s="313" t="s">
        <v>1320</v>
      </c>
      <c r="U192" s="318"/>
      <c r="V192" s="318"/>
      <c r="W192" s="318"/>
      <c r="X192" s="318"/>
      <c r="Y192" s="318"/>
      <c r="Z192" s="318"/>
      <c r="AA192" s="318"/>
      <c r="AB192" s="318"/>
      <c r="AC192" s="318"/>
      <c r="AD192" s="318"/>
      <c r="AE192" s="318"/>
      <c r="AF192" s="318"/>
      <c r="AG192" s="318"/>
    </row>
    <row r="193" spans="1:33" s="308" customFormat="1" ht="15">
      <c r="A193" s="312">
        <v>71</v>
      </c>
      <c r="C193" s="313" t="s">
        <v>1330</v>
      </c>
      <c r="D193" s="308" t="s">
        <v>433</v>
      </c>
      <c r="F193" s="314" t="s">
        <v>41</v>
      </c>
      <c r="J193" s="315"/>
      <c r="K193" s="315"/>
      <c r="L193" s="314" t="s">
        <v>78</v>
      </c>
      <c r="M193" s="316" t="s">
        <v>77</v>
      </c>
      <c r="N193" s="317" t="s">
        <v>1319</v>
      </c>
      <c r="O193" s="319"/>
      <c r="P193" s="319"/>
      <c r="Q193" s="315">
        <v>15</v>
      </c>
      <c r="R193" s="315">
        <v>93</v>
      </c>
      <c r="S193" s="1">
        <f>Table_CampList[[#This Row],[Total]]/Table_CampList[[#This Row],[HH]]</f>
        <v>6.2</v>
      </c>
      <c r="T193" s="313" t="s">
        <v>1320</v>
      </c>
      <c r="U193" s="318"/>
      <c r="V193" s="318"/>
      <c r="W193" s="318"/>
      <c r="X193" s="318"/>
      <c r="Y193" s="318"/>
      <c r="Z193" s="318"/>
      <c r="AA193" s="318"/>
      <c r="AB193" s="318"/>
      <c r="AC193" s="318"/>
      <c r="AD193" s="318"/>
      <c r="AE193" s="318"/>
      <c r="AF193" s="318"/>
      <c r="AG193" s="318"/>
    </row>
    <row r="194" spans="1:33" s="308" customFormat="1" ht="15">
      <c r="A194" s="312">
        <v>169</v>
      </c>
      <c r="C194" s="313" t="s">
        <v>1330</v>
      </c>
      <c r="D194" s="308" t="s">
        <v>433</v>
      </c>
      <c r="F194" s="314" t="s">
        <v>316</v>
      </c>
      <c r="J194" s="315"/>
      <c r="K194" s="315"/>
      <c r="L194" s="314" t="s">
        <v>369</v>
      </c>
      <c r="M194" s="316" t="s">
        <v>368</v>
      </c>
      <c r="N194" s="317"/>
      <c r="O194" s="317">
        <v>97.421104</v>
      </c>
      <c r="P194" s="317">
        <v>25.328987</v>
      </c>
      <c r="Q194" s="315" t="s">
        <v>1320</v>
      </c>
      <c r="R194" s="315" t="s">
        <v>1320</v>
      </c>
      <c r="S194" s="1" t="e">
        <f>Table_CampList[[#This Row],[Total]]/Table_CampList[[#This Row],[HH]]</f>
        <v>#VALUE!</v>
      </c>
      <c r="T194" s="313" t="s">
        <v>1320</v>
      </c>
      <c r="U194" s="318"/>
      <c r="V194" s="318"/>
      <c r="W194" s="318"/>
      <c r="X194" s="318"/>
      <c r="Y194" s="318"/>
      <c r="Z194" s="318"/>
      <c r="AA194" s="318"/>
      <c r="AB194" s="318"/>
      <c r="AC194" s="318"/>
      <c r="AD194" s="318"/>
      <c r="AE194" s="318"/>
      <c r="AF194" s="318"/>
      <c r="AG194" s="318"/>
    </row>
    <row r="195" spans="1:33" s="308" customFormat="1" ht="15">
      <c r="A195" s="312">
        <v>170</v>
      </c>
      <c r="C195" s="313" t="s">
        <v>1330</v>
      </c>
      <c r="D195" s="308" t="s">
        <v>433</v>
      </c>
      <c r="F195" s="314" t="s">
        <v>316</v>
      </c>
      <c r="J195" s="315"/>
      <c r="K195" s="315"/>
      <c r="L195" s="314" t="s">
        <v>371</v>
      </c>
      <c r="M195" s="316" t="s">
        <v>370</v>
      </c>
      <c r="N195" s="319"/>
      <c r="O195" s="319"/>
      <c r="P195" s="319"/>
      <c r="Q195" s="315" t="s">
        <v>1320</v>
      </c>
      <c r="R195" s="315" t="s">
        <v>1320</v>
      </c>
      <c r="S195" s="1" t="e">
        <f>Table_CampList[[#This Row],[Total]]/Table_CampList[[#This Row],[HH]]</f>
        <v>#VALUE!</v>
      </c>
      <c r="T195" s="313" t="s">
        <v>1320</v>
      </c>
      <c r="U195" s="318"/>
      <c r="V195" s="318"/>
      <c r="W195" s="318"/>
      <c r="X195" s="318"/>
      <c r="Y195" s="318"/>
      <c r="Z195" s="318"/>
      <c r="AA195" s="318"/>
      <c r="AB195" s="318"/>
      <c r="AC195" s="318"/>
      <c r="AD195" s="318"/>
      <c r="AE195" s="318"/>
      <c r="AF195" s="318"/>
      <c r="AG195" s="318"/>
    </row>
    <row r="196" spans="1:33" s="308" customFormat="1" ht="15">
      <c r="A196" s="312">
        <v>171</v>
      </c>
      <c r="C196" s="313" t="s">
        <v>1330</v>
      </c>
      <c r="D196" s="308" t="s">
        <v>433</v>
      </c>
      <c r="F196" s="314" t="s">
        <v>316</v>
      </c>
      <c r="J196" s="315"/>
      <c r="K196" s="315"/>
      <c r="L196" s="314" t="s">
        <v>367</v>
      </c>
      <c r="M196" s="316" t="s">
        <v>366</v>
      </c>
      <c r="N196" s="317"/>
      <c r="O196" s="317">
        <v>97.837778</v>
      </c>
      <c r="P196" s="317">
        <v>25.273333</v>
      </c>
      <c r="Q196" s="315" t="s">
        <v>1320</v>
      </c>
      <c r="R196" s="315" t="s">
        <v>1320</v>
      </c>
      <c r="S196" s="1" t="e">
        <f>Table_CampList[[#This Row],[Total]]/Table_CampList[[#This Row],[HH]]</f>
        <v>#VALUE!</v>
      </c>
      <c r="T196" s="313" t="s">
        <v>1320</v>
      </c>
      <c r="U196" s="318"/>
      <c r="V196" s="318"/>
      <c r="W196" s="318"/>
      <c r="X196" s="318"/>
      <c r="Y196" s="318"/>
      <c r="Z196" s="318"/>
      <c r="AA196" s="318"/>
      <c r="AB196" s="318"/>
      <c r="AC196" s="318"/>
      <c r="AD196" s="318"/>
      <c r="AE196" s="318"/>
      <c r="AF196" s="318"/>
      <c r="AG196" s="318"/>
    </row>
    <row r="197" spans="1:33" s="308" customFormat="1" ht="15">
      <c r="A197" s="312">
        <v>198</v>
      </c>
      <c r="C197" s="313" t="s">
        <v>1330</v>
      </c>
      <c r="D197" s="308" t="s">
        <v>433</v>
      </c>
      <c r="F197" s="314" t="s">
        <v>41</v>
      </c>
      <c r="J197" s="315"/>
      <c r="K197" s="315"/>
      <c r="L197" s="314" t="s">
        <v>1331</v>
      </c>
      <c r="M197" s="316" t="s">
        <v>1332</v>
      </c>
      <c r="N197" s="317" t="s">
        <v>1319</v>
      </c>
      <c r="O197" s="317">
        <v>96.315602</v>
      </c>
      <c r="P197" s="317">
        <v>25.615006</v>
      </c>
      <c r="Q197" s="315">
        <v>6</v>
      </c>
      <c r="R197" s="315">
        <v>27</v>
      </c>
      <c r="S197" s="1">
        <f>Table_CampList[[#This Row],[Total]]/Table_CampList[[#This Row],[HH]]</f>
        <v>4.5</v>
      </c>
      <c r="T197" s="313" t="s">
        <v>1320</v>
      </c>
      <c r="U197" s="318"/>
      <c r="V197" s="318"/>
      <c r="W197" s="318"/>
      <c r="X197" s="318"/>
      <c r="Y197" s="318"/>
      <c r="Z197" s="318"/>
      <c r="AA197" s="318"/>
      <c r="AB197" s="318"/>
      <c r="AC197" s="318"/>
      <c r="AD197" s="318"/>
      <c r="AE197" s="318"/>
      <c r="AF197" s="318"/>
      <c r="AG197" s="318"/>
    </row>
    <row r="198" spans="1:33" s="308" customFormat="1" ht="15">
      <c r="A198" s="312">
        <v>91</v>
      </c>
      <c r="C198" s="313" t="s">
        <v>1076</v>
      </c>
      <c r="D198" s="308" t="s">
        <v>433</v>
      </c>
      <c r="F198" s="314" t="s">
        <v>155</v>
      </c>
      <c r="J198" s="315"/>
      <c r="K198" s="315"/>
      <c r="L198" s="314" t="s">
        <v>1333</v>
      </c>
      <c r="M198" s="316" t="s">
        <v>1334</v>
      </c>
      <c r="N198" s="317" t="s">
        <v>1319</v>
      </c>
      <c r="O198" s="319"/>
      <c r="P198" s="319"/>
      <c r="Q198" s="315">
        <v>85</v>
      </c>
      <c r="R198" s="315">
        <v>343</v>
      </c>
      <c r="S198" s="1">
        <f>Table_CampList[[#This Row],[Total]]/Table_CampList[[#This Row],[HH]]</f>
        <v>4.035294117647059</v>
      </c>
      <c r="T198" s="313" t="s">
        <v>1320</v>
      </c>
      <c r="U198" s="318"/>
      <c r="V198" s="318"/>
      <c r="W198" s="318"/>
      <c r="X198" s="318"/>
      <c r="Y198" s="318"/>
      <c r="Z198" s="318"/>
      <c r="AA198" s="318"/>
      <c r="AB198" s="318"/>
      <c r="AC198" s="318"/>
      <c r="AD198" s="318"/>
      <c r="AE198" s="318"/>
      <c r="AF198" s="318"/>
      <c r="AG198" s="318"/>
    </row>
    <row r="199" spans="1:33" s="308" customFormat="1" ht="15">
      <c r="A199" s="312">
        <v>92</v>
      </c>
      <c r="C199" s="313" t="s">
        <v>1076</v>
      </c>
      <c r="D199" s="308" t="s">
        <v>433</v>
      </c>
      <c r="F199" s="314" t="s">
        <v>155</v>
      </c>
      <c r="J199" s="315"/>
      <c r="K199" s="315"/>
      <c r="L199" s="314" t="s">
        <v>1335</v>
      </c>
      <c r="M199" s="316" t="s">
        <v>1336</v>
      </c>
      <c r="N199" s="317" t="s">
        <v>1323</v>
      </c>
      <c r="O199" s="319"/>
      <c r="P199" s="319"/>
      <c r="Q199" s="322">
        <f>Table_CampList[[#This Row],[Total]]/5</f>
        <v>29.8</v>
      </c>
      <c r="R199" s="315">
        <v>149</v>
      </c>
      <c r="S199" s="1">
        <f>Table_CampList[[#This Row],[Total]]/Table_CampList[[#This Row],[HH]]</f>
        <v>5</v>
      </c>
      <c r="T199" s="313" t="s">
        <v>1320</v>
      </c>
      <c r="U199" s="318"/>
      <c r="V199" s="318"/>
      <c r="W199" s="318"/>
      <c r="X199" s="318"/>
      <c r="Y199" s="318"/>
      <c r="Z199" s="318"/>
      <c r="AA199" s="318"/>
      <c r="AB199" s="318"/>
      <c r="AC199" s="318"/>
      <c r="AD199" s="318"/>
      <c r="AE199" s="318"/>
      <c r="AF199" s="318"/>
      <c r="AG199" s="318"/>
    </row>
    <row r="200" spans="1:33" s="308" customFormat="1" ht="15">
      <c r="A200" s="312">
        <v>93</v>
      </c>
      <c r="C200" s="313" t="s">
        <v>1076</v>
      </c>
      <c r="D200" s="308" t="s">
        <v>433</v>
      </c>
      <c r="F200" s="314" t="s">
        <v>155</v>
      </c>
      <c r="J200" s="315"/>
      <c r="K200" s="315"/>
      <c r="L200" s="314" t="s">
        <v>1337</v>
      </c>
      <c r="M200" s="316" t="s">
        <v>1338</v>
      </c>
      <c r="N200" s="317" t="s">
        <v>1323</v>
      </c>
      <c r="O200" s="319"/>
      <c r="P200" s="319"/>
      <c r="Q200" s="322">
        <f>Table_CampList[[#This Row],[Total]]/5</f>
        <v>35.4</v>
      </c>
      <c r="R200" s="315">
        <v>177</v>
      </c>
      <c r="S200" s="1">
        <f>Table_CampList[[#This Row],[Total]]/Table_CampList[[#This Row],[HH]]</f>
        <v>5</v>
      </c>
      <c r="T200" s="313" t="s">
        <v>1320</v>
      </c>
      <c r="U200" s="318"/>
      <c r="V200" s="318"/>
      <c r="W200" s="318"/>
      <c r="X200" s="318"/>
      <c r="Y200" s="318"/>
      <c r="Z200" s="318"/>
      <c r="AA200" s="318"/>
      <c r="AB200" s="318"/>
      <c r="AC200" s="318"/>
      <c r="AD200" s="318"/>
      <c r="AE200" s="318"/>
      <c r="AF200" s="318"/>
      <c r="AG200" s="318"/>
    </row>
    <row r="201" spans="1:33" s="308" customFormat="1" ht="15">
      <c r="A201" s="312">
        <v>197</v>
      </c>
      <c r="C201" s="313" t="s">
        <v>1076</v>
      </c>
      <c r="D201" s="308" t="s">
        <v>433</v>
      </c>
      <c r="F201" s="314" t="s">
        <v>189</v>
      </c>
      <c r="J201" s="315"/>
      <c r="K201" s="315"/>
      <c r="L201" s="314" t="s">
        <v>1339</v>
      </c>
      <c r="M201" s="316" t="s">
        <v>1340</v>
      </c>
      <c r="N201" s="317" t="s">
        <v>1319</v>
      </c>
      <c r="O201" s="319"/>
      <c r="P201" s="319"/>
      <c r="Q201" s="315">
        <v>4</v>
      </c>
      <c r="R201" s="315">
        <v>26</v>
      </c>
      <c r="S201" s="1">
        <f>Table_CampList[[#This Row],[Total]]/Table_CampList[[#This Row],[HH]]</f>
        <v>6.5</v>
      </c>
      <c r="T201" s="313" t="s">
        <v>1320</v>
      </c>
      <c r="U201" s="318"/>
      <c r="V201" s="318"/>
      <c r="W201" s="318"/>
      <c r="X201" s="318"/>
      <c r="Y201" s="318"/>
      <c r="Z201" s="318"/>
      <c r="AA201" s="318"/>
      <c r="AB201" s="318"/>
      <c r="AC201" s="318"/>
      <c r="AD201" s="318"/>
      <c r="AE201" s="318"/>
      <c r="AF201" s="318"/>
      <c r="AG201" s="318"/>
    </row>
    <row r="202" spans="1:33" s="308" customFormat="1" ht="15">
      <c r="A202" s="312">
        <v>127</v>
      </c>
      <c r="C202" s="313" t="s">
        <v>1076</v>
      </c>
      <c r="D202" s="308" t="s">
        <v>433</v>
      </c>
      <c r="F202" s="314" t="s">
        <v>234</v>
      </c>
      <c r="J202" s="315"/>
      <c r="K202" s="315"/>
      <c r="L202" s="314" t="s">
        <v>423</v>
      </c>
      <c r="M202" s="316" t="s">
        <v>441</v>
      </c>
      <c r="N202" s="317" t="s">
        <v>1323</v>
      </c>
      <c r="O202" s="319"/>
      <c r="P202" s="319"/>
      <c r="Q202" s="315" t="s">
        <v>1320</v>
      </c>
      <c r="R202" s="315" t="s">
        <v>1320</v>
      </c>
      <c r="S202" s="1" t="e">
        <f>Table_CampList[[#This Row],[Total]]/Table_CampList[[#This Row],[HH]]</f>
        <v>#VALUE!</v>
      </c>
      <c r="T202" s="313" t="s">
        <v>1320</v>
      </c>
      <c r="U202" s="318"/>
      <c r="V202" s="318"/>
      <c r="W202" s="318"/>
      <c r="X202" s="318"/>
      <c r="Y202" s="318"/>
      <c r="Z202" s="318"/>
      <c r="AA202" s="318"/>
      <c r="AB202" s="318"/>
      <c r="AC202" s="318"/>
      <c r="AD202" s="318"/>
      <c r="AE202" s="318"/>
      <c r="AF202" s="318"/>
      <c r="AG202" s="318"/>
    </row>
    <row r="203" spans="1:60" ht="16.5" customHeight="1">
      <c r="A203" s="286">
        <v>248</v>
      </c>
      <c r="B203" s="290">
        <v>41416</v>
      </c>
      <c r="C203" s="288" t="s">
        <v>1076</v>
      </c>
      <c r="D203" s="1" t="s">
        <v>434</v>
      </c>
      <c r="E203" s="1" t="s">
        <v>1079</v>
      </c>
      <c r="F203" s="1" t="s">
        <v>458</v>
      </c>
      <c r="G203" s="1" t="s">
        <v>1134</v>
      </c>
      <c r="H203" s="1" t="s">
        <v>1138</v>
      </c>
      <c r="I203" s="1" t="s">
        <v>1137</v>
      </c>
      <c r="J203" s="1" t="s">
        <v>1203</v>
      </c>
      <c r="K203" s="1">
        <v>198469</v>
      </c>
      <c r="L203" s="1" t="s">
        <v>503</v>
      </c>
      <c r="M203" s="1" t="s">
        <v>592</v>
      </c>
      <c r="N203" s="1" t="s">
        <v>1054</v>
      </c>
      <c r="O203" s="1" t="s">
        <v>719</v>
      </c>
      <c r="P203" s="1" t="s">
        <v>720</v>
      </c>
      <c r="Q203" s="1">
        <v>65</v>
      </c>
      <c r="R203" s="1">
        <v>321</v>
      </c>
      <c r="S203" s="1">
        <f>Table_CampList[[#This Row],[Total]]/Table_CampList[[#This Row],[HH]]</f>
        <v>4.938461538461539</v>
      </c>
      <c r="T203" s="6" t="s">
        <v>1234</v>
      </c>
      <c r="U203" s="6" t="s">
        <v>1253</v>
      </c>
      <c r="V203" s="6" t="s">
        <v>464</v>
      </c>
      <c r="W203" s="6"/>
      <c r="X203"/>
      <c r="BG203"/>
      <c r="BH203"/>
    </row>
    <row r="204" spans="1:60" ht="16.5" customHeight="1">
      <c r="A204" s="286">
        <v>247</v>
      </c>
      <c r="B204" s="290">
        <v>41416</v>
      </c>
      <c r="C204" s="288" t="s">
        <v>1076</v>
      </c>
      <c r="D204" s="1" t="s">
        <v>434</v>
      </c>
      <c r="E204" s="1" t="s">
        <v>1079</v>
      </c>
      <c r="F204" s="1" t="s">
        <v>458</v>
      </c>
      <c r="G204" s="1" t="s">
        <v>1134</v>
      </c>
      <c r="H204" s="1" t="s">
        <v>1139</v>
      </c>
      <c r="I204" s="1" t="s">
        <v>1140</v>
      </c>
      <c r="J204" s="1" t="s">
        <v>1202</v>
      </c>
      <c r="K204" s="1">
        <v>198486</v>
      </c>
      <c r="L204" s="1" t="s">
        <v>502</v>
      </c>
      <c r="M204" s="1" t="s">
        <v>591</v>
      </c>
      <c r="N204" s="1" t="s">
        <v>1054</v>
      </c>
      <c r="O204" s="1" t="s">
        <v>717</v>
      </c>
      <c r="P204" s="1" t="s">
        <v>718</v>
      </c>
      <c r="Q204" s="1">
        <v>426</v>
      </c>
      <c r="R204" s="1">
        <v>1528</v>
      </c>
      <c r="S204" s="1">
        <f>Table_CampList[[#This Row],[Total]]/Table_CampList[[#This Row],[HH]]</f>
        <v>3.5868544600938965</v>
      </c>
      <c r="T204" s="6" t="s">
        <v>1234</v>
      </c>
      <c r="U204" s="6" t="s">
        <v>1253</v>
      </c>
      <c r="V204" s="6" t="s">
        <v>464</v>
      </c>
      <c r="W204" s="6"/>
      <c r="X204"/>
      <c r="BG204"/>
      <c r="BH204"/>
    </row>
    <row r="205" spans="1:23" s="9" customFormat="1" ht="16.5" customHeight="1">
      <c r="A205" s="286">
        <v>233</v>
      </c>
      <c r="B205" s="290">
        <v>41416</v>
      </c>
      <c r="C205" s="288" t="s">
        <v>1076</v>
      </c>
      <c r="D205" s="1" t="s">
        <v>434</v>
      </c>
      <c r="E205" s="1" t="s">
        <v>1079</v>
      </c>
      <c r="F205" s="1" t="s">
        <v>456</v>
      </c>
      <c r="G205" s="1" t="s">
        <v>1109</v>
      </c>
      <c r="H205" s="1" t="s">
        <v>1122</v>
      </c>
      <c r="I205" s="1" t="s">
        <v>1121</v>
      </c>
      <c r="J205" s="1" t="s">
        <v>1208</v>
      </c>
      <c r="K205" s="1">
        <v>196789</v>
      </c>
      <c r="L205" s="1" t="s">
        <v>488</v>
      </c>
      <c r="M205" s="1" t="s">
        <v>577</v>
      </c>
      <c r="N205" s="1" t="s">
        <v>1054</v>
      </c>
      <c r="O205" s="1" t="s">
        <v>691</v>
      </c>
      <c r="P205" s="1" t="s">
        <v>692</v>
      </c>
      <c r="Q205" s="1">
        <v>63</v>
      </c>
      <c r="R205" s="1">
        <v>405</v>
      </c>
      <c r="S205" s="1">
        <f>Table_CampList[[#This Row],[Total]]/Table_CampList[[#This Row],[HH]]</f>
        <v>6.428571428571429</v>
      </c>
      <c r="T205" s="6" t="s">
        <v>1234</v>
      </c>
      <c r="U205" s="6" t="s">
        <v>1253</v>
      </c>
      <c r="V205" s="6" t="s">
        <v>646</v>
      </c>
      <c r="W205" s="6"/>
    </row>
    <row r="206" spans="1:60" ht="16.5" customHeight="1">
      <c r="A206" s="286">
        <v>234</v>
      </c>
      <c r="B206" s="290">
        <v>41416</v>
      </c>
      <c r="C206" s="288" t="s">
        <v>1076</v>
      </c>
      <c r="D206" s="1" t="s">
        <v>434</v>
      </c>
      <c r="E206" s="1" t="s">
        <v>1079</v>
      </c>
      <c r="F206" s="1" t="s">
        <v>456</v>
      </c>
      <c r="G206" s="1" t="s">
        <v>1109</v>
      </c>
      <c r="H206" s="1" t="s">
        <v>1122</v>
      </c>
      <c r="I206" s="1" t="s">
        <v>1121</v>
      </c>
      <c r="J206" s="1" t="s">
        <v>489</v>
      </c>
      <c r="K206" s="1">
        <v>196786</v>
      </c>
      <c r="L206" s="1" t="s">
        <v>489</v>
      </c>
      <c r="M206" s="1" t="s">
        <v>578</v>
      </c>
      <c r="N206" s="1" t="s">
        <v>1054</v>
      </c>
      <c r="O206" s="1" t="s">
        <v>693</v>
      </c>
      <c r="P206" s="1" t="s">
        <v>694</v>
      </c>
      <c r="Q206" s="1">
        <v>25</v>
      </c>
      <c r="R206" s="1">
        <v>151</v>
      </c>
      <c r="S206" s="1">
        <f>Table_CampList[[#This Row],[Total]]/Table_CampList[[#This Row],[HH]]</f>
        <v>6.04</v>
      </c>
      <c r="T206" s="6" t="s">
        <v>1234</v>
      </c>
      <c r="U206" s="6" t="s">
        <v>1253</v>
      </c>
      <c r="V206" s="6" t="s">
        <v>646</v>
      </c>
      <c r="W206" s="6"/>
      <c r="X206"/>
      <c r="BG206"/>
      <c r="BH206"/>
    </row>
    <row r="207" spans="1:60" ht="16.5" customHeight="1">
      <c r="A207" s="286">
        <v>235</v>
      </c>
      <c r="B207" s="290">
        <v>41416</v>
      </c>
      <c r="C207" s="288" t="s">
        <v>1076</v>
      </c>
      <c r="D207" s="1" t="s">
        <v>434</v>
      </c>
      <c r="E207" s="1" t="s">
        <v>1079</v>
      </c>
      <c r="F207" s="1" t="s">
        <v>456</v>
      </c>
      <c r="G207" s="1" t="s">
        <v>1109</v>
      </c>
      <c r="H207" s="1" t="s">
        <v>1120</v>
      </c>
      <c r="I207" s="1" t="s">
        <v>1119</v>
      </c>
      <c r="J207" s="3" t="s">
        <v>1207</v>
      </c>
      <c r="K207" s="212">
        <v>196829</v>
      </c>
      <c r="L207" s="1" t="s">
        <v>490</v>
      </c>
      <c r="M207" s="1" t="s">
        <v>579</v>
      </c>
      <c r="N207" s="1" t="s">
        <v>1054</v>
      </c>
      <c r="O207" s="1" t="s">
        <v>695</v>
      </c>
      <c r="P207" s="1" t="s">
        <v>696</v>
      </c>
      <c r="Q207" s="1">
        <v>83</v>
      </c>
      <c r="R207" s="1">
        <v>516</v>
      </c>
      <c r="S207" s="1">
        <f>Table_CampList[[#This Row],[Total]]/Table_CampList[[#This Row],[HH]]</f>
        <v>6.216867469879518</v>
      </c>
      <c r="T207" s="6" t="s">
        <v>1234</v>
      </c>
      <c r="U207" s="6" t="s">
        <v>1253</v>
      </c>
      <c r="V207" s="6" t="s">
        <v>465</v>
      </c>
      <c r="W207" s="6"/>
      <c r="X207"/>
      <c r="BF207" s="5"/>
      <c r="BH207"/>
    </row>
    <row r="208" spans="1:60" ht="16.5" customHeight="1">
      <c r="A208" s="286">
        <v>242</v>
      </c>
      <c r="B208" s="290">
        <v>41416</v>
      </c>
      <c r="C208" s="288" t="s">
        <v>1076</v>
      </c>
      <c r="D208" s="1" t="s">
        <v>434</v>
      </c>
      <c r="E208" s="1" t="s">
        <v>1079</v>
      </c>
      <c r="F208" s="1" t="s">
        <v>456</v>
      </c>
      <c r="G208" s="1" t="s">
        <v>1109</v>
      </c>
      <c r="H208" s="1" t="s">
        <v>1113</v>
      </c>
      <c r="I208" s="1" t="s">
        <v>1112</v>
      </c>
      <c r="J208" s="1" t="s">
        <v>1204</v>
      </c>
      <c r="K208" s="1">
        <v>196838</v>
      </c>
      <c r="L208" s="1" t="s">
        <v>497</v>
      </c>
      <c r="M208" s="1" t="s">
        <v>586</v>
      </c>
      <c r="N208" s="1" t="s">
        <v>1054</v>
      </c>
      <c r="O208" s="1" t="s">
        <v>709</v>
      </c>
      <c r="P208" s="1" t="s">
        <v>710</v>
      </c>
      <c r="Q208" s="1">
        <v>145</v>
      </c>
      <c r="R208" s="1">
        <v>888</v>
      </c>
      <c r="S208" s="1">
        <f>Table_CampList[[#This Row],[Total]]/Table_CampList[[#This Row],[HH]]</f>
        <v>6.124137931034483</v>
      </c>
      <c r="T208" s="6" t="s">
        <v>1234</v>
      </c>
      <c r="U208" s="6" t="s">
        <v>1253</v>
      </c>
      <c r="V208" s="6" t="s">
        <v>465</v>
      </c>
      <c r="W208" s="6"/>
      <c r="X208"/>
      <c r="BF208" s="5"/>
      <c r="BH208"/>
    </row>
    <row r="209" spans="1:60" ht="16.5" customHeight="1">
      <c r="A209" s="286">
        <v>237</v>
      </c>
      <c r="B209" s="290">
        <v>41416</v>
      </c>
      <c r="C209" s="288" t="s">
        <v>1076</v>
      </c>
      <c r="D209" s="1" t="s">
        <v>434</v>
      </c>
      <c r="E209" s="1" t="s">
        <v>1079</v>
      </c>
      <c r="F209" s="1" t="s">
        <v>456</v>
      </c>
      <c r="G209" s="1" t="s">
        <v>1109</v>
      </c>
      <c r="H209" s="1" t="s">
        <v>492</v>
      </c>
      <c r="I209" s="1" t="s">
        <v>1125</v>
      </c>
      <c r="J209" s="1" t="s">
        <v>1210</v>
      </c>
      <c r="K209" s="1">
        <v>196842</v>
      </c>
      <c r="L209" s="1" t="s">
        <v>492</v>
      </c>
      <c r="M209" s="1" t="s">
        <v>581</v>
      </c>
      <c r="N209" s="1" t="s">
        <v>1054</v>
      </c>
      <c r="O209" s="1" t="s">
        <v>699</v>
      </c>
      <c r="P209" s="1" t="s">
        <v>700</v>
      </c>
      <c r="Q209" s="1">
        <v>14</v>
      </c>
      <c r="R209" s="1">
        <v>86</v>
      </c>
      <c r="S209" s="1">
        <f>Table_CampList[[#This Row],[Total]]/Table_CampList[[#This Row],[HH]]</f>
        <v>6.142857142857143</v>
      </c>
      <c r="T209" s="6" t="s">
        <v>1234</v>
      </c>
      <c r="U209" s="6" t="s">
        <v>1253</v>
      </c>
      <c r="V209" s="6" t="s">
        <v>646</v>
      </c>
      <c r="W209" s="6"/>
      <c r="X209"/>
      <c r="BF209" s="5"/>
      <c r="BH209"/>
    </row>
    <row r="210" spans="1:60" ht="16.5" customHeight="1">
      <c r="A210" s="286">
        <v>232</v>
      </c>
      <c r="B210" s="290">
        <v>41416</v>
      </c>
      <c r="C210" s="288" t="s">
        <v>1076</v>
      </c>
      <c r="D210" s="1" t="s">
        <v>434</v>
      </c>
      <c r="E210" s="1" t="s">
        <v>1079</v>
      </c>
      <c r="F210" s="1" t="s">
        <v>456</v>
      </c>
      <c r="G210" s="1" t="s">
        <v>1109</v>
      </c>
      <c r="H210" s="1" t="s">
        <v>1124</v>
      </c>
      <c r="I210" s="1" t="s">
        <v>1123</v>
      </c>
      <c r="J210" s="1" t="s">
        <v>1209</v>
      </c>
      <c r="K210" s="1">
        <v>196873</v>
      </c>
      <c r="L210" s="1" t="s">
        <v>487</v>
      </c>
      <c r="M210" s="1" t="s">
        <v>576</v>
      </c>
      <c r="N210" s="1" t="s">
        <v>1054</v>
      </c>
      <c r="O210" s="1" t="s">
        <v>689</v>
      </c>
      <c r="P210" s="1" t="s">
        <v>690</v>
      </c>
      <c r="Q210" s="1">
        <v>18</v>
      </c>
      <c r="R210" s="1">
        <v>148</v>
      </c>
      <c r="S210" s="1">
        <f>Table_CampList[[#This Row],[Total]]/Table_CampList[[#This Row],[HH]]</f>
        <v>8.222222222222221</v>
      </c>
      <c r="T210" s="6" t="s">
        <v>1234</v>
      </c>
      <c r="U210" s="6" t="s">
        <v>1253</v>
      </c>
      <c r="V210" s="6" t="s">
        <v>646</v>
      </c>
      <c r="W210" s="6"/>
      <c r="X210"/>
      <c r="BF210" s="5"/>
      <c r="BH210"/>
    </row>
    <row r="211" spans="1:60" ht="16.5" customHeight="1">
      <c r="A211" s="286">
        <v>238</v>
      </c>
      <c r="B211" s="290">
        <v>41416</v>
      </c>
      <c r="C211" s="288" t="s">
        <v>1076</v>
      </c>
      <c r="D211" s="1" t="s">
        <v>434</v>
      </c>
      <c r="E211" s="1" t="s">
        <v>1079</v>
      </c>
      <c r="F211" s="1" t="s">
        <v>456</v>
      </c>
      <c r="G211" s="1" t="s">
        <v>1109</v>
      </c>
      <c r="H211" s="1" t="s">
        <v>1111</v>
      </c>
      <c r="I211" s="1" t="s">
        <v>1110</v>
      </c>
      <c r="J211" s="1" t="s">
        <v>493</v>
      </c>
      <c r="K211" s="212">
        <v>196945</v>
      </c>
      <c r="L211" s="1" t="s">
        <v>493</v>
      </c>
      <c r="M211" s="1" t="s">
        <v>582</v>
      </c>
      <c r="N211" s="1" t="s">
        <v>1054</v>
      </c>
      <c r="O211" s="1" t="s">
        <v>701</v>
      </c>
      <c r="P211" s="1" t="s">
        <v>702</v>
      </c>
      <c r="Q211" s="1">
        <v>230</v>
      </c>
      <c r="R211" s="1">
        <v>1367</v>
      </c>
      <c r="S211" s="1">
        <f>Table_CampList[[#This Row],[Total]]/Table_CampList[[#This Row],[HH]]</f>
        <v>5.943478260869565</v>
      </c>
      <c r="T211" s="6" t="s">
        <v>1234</v>
      </c>
      <c r="U211" s="6" t="s">
        <v>1253</v>
      </c>
      <c r="V211" s="6" t="s">
        <v>646</v>
      </c>
      <c r="W211" s="6"/>
      <c r="X211"/>
      <c r="BF211" s="5"/>
      <c r="BH211"/>
    </row>
    <row r="212" spans="1:60" ht="16.5" customHeight="1">
      <c r="A212" s="286">
        <v>240</v>
      </c>
      <c r="B212" s="290">
        <v>41416</v>
      </c>
      <c r="C212" s="288" t="s">
        <v>1076</v>
      </c>
      <c r="D212" s="1" t="s">
        <v>434</v>
      </c>
      <c r="E212" s="1" t="s">
        <v>1079</v>
      </c>
      <c r="F212" s="1" t="s">
        <v>456</v>
      </c>
      <c r="G212" s="1" t="s">
        <v>1109</v>
      </c>
      <c r="H212" s="1" t="s">
        <v>1116</v>
      </c>
      <c r="I212" s="1" t="s">
        <v>1115</v>
      </c>
      <c r="J212" s="1" t="s">
        <v>495</v>
      </c>
      <c r="K212" s="1">
        <v>196952</v>
      </c>
      <c r="L212" s="1" t="s">
        <v>495</v>
      </c>
      <c r="M212" s="1" t="s">
        <v>584</v>
      </c>
      <c r="N212" s="1" t="s">
        <v>1054</v>
      </c>
      <c r="O212" s="1" t="s">
        <v>705</v>
      </c>
      <c r="P212" s="1" t="s">
        <v>706</v>
      </c>
      <c r="Q212" s="1">
        <v>107</v>
      </c>
      <c r="R212" s="1">
        <v>703</v>
      </c>
      <c r="S212" s="1">
        <f>Table_CampList[[#This Row],[Total]]/Table_CampList[[#This Row],[HH]]</f>
        <v>6.570093457943925</v>
      </c>
      <c r="T212" s="6" t="s">
        <v>1234</v>
      </c>
      <c r="U212" s="6" t="s">
        <v>1253</v>
      </c>
      <c r="V212" s="6" t="s">
        <v>646</v>
      </c>
      <c r="W212" s="6"/>
      <c r="X212"/>
      <c r="BF212" s="5"/>
      <c r="BH212"/>
    </row>
    <row r="213" spans="1:60" ht="16.5" customHeight="1">
      <c r="A213" s="286">
        <v>236</v>
      </c>
      <c r="B213" s="290">
        <v>41416</v>
      </c>
      <c r="C213" s="288" t="s">
        <v>1076</v>
      </c>
      <c r="D213" s="1" t="s">
        <v>434</v>
      </c>
      <c r="E213" s="1" t="s">
        <v>1079</v>
      </c>
      <c r="F213" s="1" t="s">
        <v>456</v>
      </c>
      <c r="G213" s="1" t="s">
        <v>1109</v>
      </c>
      <c r="H213" s="1" t="s">
        <v>1116</v>
      </c>
      <c r="I213" s="1" t="s">
        <v>1115</v>
      </c>
      <c r="J213" s="1" t="s">
        <v>1116</v>
      </c>
      <c r="K213" s="1">
        <v>196946</v>
      </c>
      <c r="L213" s="1" t="s">
        <v>491</v>
      </c>
      <c r="M213" s="1" t="s">
        <v>580</v>
      </c>
      <c r="N213" s="1" t="s">
        <v>1054</v>
      </c>
      <c r="O213" s="1" t="s">
        <v>697</v>
      </c>
      <c r="P213" s="1" t="s">
        <v>698</v>
      </c>
      <c r="Q213" s="1">
        <v>90</v>
      </c>
      <c r="R213" s="1">
        <v>808</v>
      </c>
      <c r="S213" s="1">
        <f>Table_CampList[[#This Row],[Total]]/Table_CampList[[#This Row],[HH]]</f>
        <v>8.977777777777778</v>
      </c>
      <c r="T213" s="6" t="s">
        <v>1234</v>
      </c>
      <c r="U213" s="6" t="s">
        <v>1253</v>
      </c>
      <c r="V213" s="6" t="s">
        <v>646</v>
      </c>
      <c r="W213" s="6"/>
      <c r="X213"/>
      <c r="BF213" s="5"/>
      <c r="BH213"/>
    </row>
    <row r="214" spans="1:60" ht="16.5" customHeight="1">
      <c r="A214" s="286">
        <v>241</v>
      </c>
      <c r="B214" s="290">
        <v>41416</v>
      </c>
      <c r="C214" s="288" t="s">
        <v>1076</v>
      </c>
      <c r="D214" s="1" t="s">
        <v>434</v>
      </c>
      <c r="E214" s="1" t="s">
        <v>1079</v>
      </c>
      <c r="F214" s="1" t="s">
        <v>456</v>
      </c>
      <c r="G214" s="1" t="s">
        <v>1109</v>
      </c>
      <c r="H214" s="1" t="s">
        <v>1118</v>
      </c>
      <c r="I214" s="1" t="s">
        <v>1117</v>
      </c>
      <c r="J214" s="1" t="s">
        <v>1206</v>
      </c>
      <c r="K214" s="1">
        <v>196868</v>
      </c>
      <c r="L214" s="1" t="s">
        <v>496</v>
      </c>
      <c r="M214" s="1" t="s">
        <v>585</v>
      </c>
      <c r="N214" s="1" t="s">
        <v>1054</v>
      </c>
      <c r="O214" s="1" t="s">
        <v>707</v>
      </c>
      <c r="P214" s="1" t="s">
        <v>708</v>
      </c>
      <c r="Q214" s="1">
        <v>107</v>
      </c>
      <c r="R214" s="1">
        <v>667</v>
      </c>
      <c r="S214" s="1">
        <f>Table_CampList[[#This Row],[Total]]/Table_CampList[[#This Row],[HH]]</f>
        <v>6.233644859813084</v>
      </c>
      <c r="T214" s="6" t="s">
        <v>1234</v>
      </c>
      <c r="U214" s="6" t="s">
        <v>1253</v>
      </c>
      <c r="V214" s="6" t="s">
        <v>646</v>
      </c>
      <c r="W214" s="6"/>
      <c r="X214"/>
      <c r="BF214" s="5"/>
      <c r="BH214"/>
    </row>
    <row r="215" spans="1:59" s="104" customFormat="1" ht="16.5" customHeight="1">
      <c r="A215" s="286">
        <v>239</v>
      </c>
      <c r="B215" s="290">
        <v>41416</v>
      </c>
      <c r="C215" s="288" t="s">
        <v>1076</v>
      </c>
      <c r="D215" s="1" t="s">
        <v>434</v>
      </c>
      <c r="E215" s="1" t="s">
        <v>1079</v>
      </c>
      <c r="F215" s="1" t="s">
        <v>456</v>
      </c>
      <c r="G215" s="1" t="s">
        <v>1109</v>
      </c>
      <c r="H215" s="1" t="s">
        <v>494</v>
      </c>
      <c r="I215" s="1" t="s">
        <v>1114</v>
      </c>
      <c r="J215" s="1" t="s">
        <v>1205</v>
      </c>
      <c r="K215" s="1">
        <v>196972</v>
      </c>
      <c r="L215" s="1" t="s">
        <v>494</v>
      </c>
      <c r="M215" s="1" t="s">
        <v>583</v>
      </c>
      <c r="N215" s="1" t="s">
        <v>1054</v>
      </c>
      <c r="O215" s="1" t="s">
        <v>703</v>
      </c>
      <c r="P215" s="1" t="s">
        <v>704</v>
      </c>
      <c r="Q215" s="1">
        <v>116</v>
      </c>
      <c r="R215" s="1">
        <v>679</v>
      </c>
      <c r="S215" s="1">
        <f>Table_CampList[[#This Row],[Total]]/Table_CampList[[#This Row],[HH]]</f>
        <v>5.853448275862069</v>
      </c>
      <c r="T215" s="6" t="s">
        <v>1234</v>
      </c>
      <c r="U215" s="6" t="s">
        <v>1253</v>
      </c>
      <c r="V215" s="1" t="s">
        <v>646</v>
      </c>
      <c r="W215" s="1"/>
      <c r="BF215" s="5"/>
      <c r="BG215" s="5"/>
    </row>
    <row r="216" spans="1:59" s="104" customFormat="1" ht="16.5" customHeight="1">
      <c r="A216" s="287">
        <v>307</v>
      </c>
      <c r="B216" s="291">
        <v>41416</v>
      </c>
      <c r="C216" s="289" t="s">
        <v>1076</v>
      </c>
      <c r="D216" s="1" t="s">
        <v>434</v>
      </c>
      <c r="E216" s="214" t="s">
        <v>1079</v>
      </c>
      <c r="F216" s="214" t="s">
        <v>461</v>
      </c>
      <c r="G216" s="214" t="s">
        <v>1177</v>
      </c>
      <c r="H216" s="214" t="s">
        <v>1193</v>
      </c>
      <c r="I216" s="214" t="s">
        <v>1192</v>
      </c>
      <c r="J216" s="214" t="s">
        <v>1194</v>
      </c>
      <c r="K216" s="214">
        <v>197868</v>
      </c>
      <c r="L216" s="45" t="s">
        <v>952</v>
      </c>
      <c r="M216" s="219" t="s">
        <v>953</v>
      </c>
      <c r="N216" s="219" t="s">
        <v>1054</v>
      </c>
      <c r="O216" s="45" t="s">
        <v>954</v>
      </c>
      <c r="P216" s="45" t="s">
        <v>955</v>
      </c>
      <c r="Q216" s="214">
        <v>8</v>
      </c>
      <c r="R216" s="214">
        <v>53</v>
      </c>
      <c r="S216" s="1">
        <f>Table_CampList[[#This Row],[Total]]/Table_CampList[[#This Row],[HH]]</f>
        <v>6.625</v>
      </c>
      <c r="T216" s="221" t="s">
        <v>1234</v>
      </c>
      <c r="U216" s="6" t="s">
        <v>1253</v>
      </c>
      <c r="V216" s="214" t="s">
        <v>465</v>
      </c>
      <c r="W216" s="214"/>
      <c r="BF216" s="5"/>
      <c r="BG216" s="5"/>
    </row>
    <row r="217" spans="1:59" s="104" customFormat="1" ht="16.5" customHeight="1">
      <c r="A217" s="286">
        <v>298</v>
      </c>
      <c r="B217" s="290">
        <v>41416</v>
      </c>
      <c r="C217" s="288" t="s">
        <v>1076</v>
      </c>
      <c r="D217" s="1" t="s">
        <v>434</v>
      </c>
      <c r="E217" s="1" t="s">
        <v>1079</v>
      </c>
      <c r="F217" s="1" t="s">
        <v>461</v>
      </c>
      <c r="G217" s="1" t="s">
        <v>1177</v>
      </c>
      <c r="H217" s="1" t="s">
        <v>1183</v>
      </c>
      <c r="I217" s="1" t="s">
        <v>1182</v>
      </c>
      <c r="J217" s="1" t="s">
        <v>1200</v>
      </c>
      <c r="K217" s="1">
        <v>197990</v>
      </c>
      <c r="L217" s="1" t="s">
        <v>553</v>
      </c>
      <c r="M217" s="1" t="s">
        <v>642</v>
      </c>
      <c r="N217" s="1" t="s">
        <v>1054</v>
      </c>
      <c r="O217" s="106" t="s">
        <v>934</v>
      </c>
      <c r="P217" s="106" t="s">
        <v>935</v>
      </c>
      <c r="Q217" s="1">
        <v>51</v>
      </c>
      <c r="R217" s="1">
        <v>304</v>
      </c>
      <c r="S217" s="1">
        <f>Table_CampList[[#This Row],[Total]]/Table_CampList[[#This Row],[HH]]</f>
        <v>5.96078431372549</v>
      </c>
      <c r="T217" s="6" t="s">
        <v>1234</v>
      </c>
      <c r="U217" s="6" t="s">
        <v>1253</v>
      </c>
      <c r="V217" s="1" t="s">
        <v>649</v>
      </c>
      <c r="W217" s="1"/>
      <c r="BF217" s="5"/>
      <c r="BG217" s="5"/>
    </row>
    <row r="218" spans="1:59" s="104" customFormat="1" ht="16.5" customHeight="1">
      <c r="A218" s="287">
        <v>308</v>
      </c>
      <c r="B218" s="291">
        <v>41416</v>
      </c>
      <c r="C218" s="289" t="s">
        <v>1076</v>
      </c>
      <c r="D218" s="1" t="s">
        <v>434</v>
      </c>
      <c r="E218" s="214" t="s">
        <v>1079</v>
      </c>
      <c r="F218" s="214" t="s">
        <v>461</v>
      </c>
      <c r="G218" s="214" t="s">
        <v>1177</v>
      </c>
      <c r="H218" s="214" t="s">
        <v>1183</v>
      </c>
      <c r="I218" s="214" t="s">
        <v>1182</v>
      </c>
      <c r="J218" s="214"/>
      <c r="K218" s="214"/>
      <c r="L218" s="45" t="s">
        <v>956</v>
      </c>
      <c r="M218" s="219" t="s">
        <v>957</v>
      </c>
      <c r="N218" s="219" t="s">
        <v>1054</v>
      </c>
      <c r="O218" s="45" t="s">
        <v>958</v>
      </c>
      <c r="P218" s="45" t="s">
        <v>959</v>
      </c>
      <c r="Q218" s="214">
        <v>39</v>
      </c>
      <c r="R218" s="214">
        <v>268</v>
      </c>
      <c r="S218" s="1">
        <f>Table_CampList[[#This Row],[Total]]/Table_CampList[[#This Row],[HH]]</f>
        <v>6.871794871794871</v>
      </c>
      <c r="T218" s="221" t="s">
        <v>1234</v>
      </c>
      <c r="U218" s="6" t="s">
        <v>1253</v>
      </c>
      <c r="V218" s="214" t="s">
        <v>465</v>
      </c>
      <c r="W218" s="214"/>
      <c r="BF218" s="5"/>
      <c r="BG218" s="5"/>
    </row>
    <row r="219" spans="1:59" s="104" customFormat="1" ht="16.5" customHeight="1">
      <c r="A219" s="286">
        <v>291</v>
      </c>
      <c r="B219" s="290">
        <v>41416</v>
      </c>
      <c r="C219" s="288" t="s">
        <v>1076</v>
      </c>
      <c r="D219" s="1" t="s">
        <v>434</v>
      </c>
      <c r="E219" s="1" t="s">
        <v>1079</v>
      </c>
      <c r="F219" s="1" t="s">
        <v>461</v>
      </c>
      <c r="G219" s="1" t="s">
        <v>1177</v>
      </c>
      <c r="H219" s="1" t="s">
        <v>1186</v>
      </c>
      <c r="I219" s="1" t="s">
        <v>1187</v>
      </c>
      <c r="J219" s="1" t="s">
        <v>1195</v>
      </c>
      <c r="K219" s="1">
        <v>217897</v>
      </c>
      <c r="L219" s="1" t="s">
        <v>546</v>
      </c>
      <c r="M219" s="1" t="s">
        <v>635</v>
      </c>
      <c r="N219" s="1" t="s">
        <v>1054</v>
      </c>
      <c r="O219" s="106" t="s">
        <v>920</v>
      </c>
      <c r="P219" s="106" t="s">
        <v>921</v>
      </c>
      <c r="Q219" s="1">
        <v>25</v>
      </c>
      <c r="R219" s="1">
        <v>112</v>
      </c>
      <c r="S219" s="1">
        <f>Table_CampList[[#This Row],[Total]]/Table_CampList[[#This Row],[HH]]</f>
        <v>4.48</v>
      </c>
      <c r="T219" s="6" t="s">
        <v>1234</v>
      </c>
      <c r="U219" s="6" t="s">
        <v>1253</v>
      </c>
      <c r="V219" s="1" t="s">
        <v>650</v>
      </c>
      <c r="W219" s="1"/>
      <c r="BF219" s="5"/>
      <c r="BG219" s="5"/>
    </row>
    <row r="220" spans="1:59" s="104" customFormat="1" ht="16.5" customHeight="1">
      <c r="A220" s="286">
        <v>293</v>
      </c>
      <c r="B220" s="290">
        <v>41416</v>
      </c>
      <c r="C220" s="288" t="s">
        <v>1076</v>
      </c>
      <c r="D220" s="1" t="s">
        <v>434</v>
      </c>
      <c r="E220" s="1" t="s">
        <v>1079</v>
      </c>
      <c r="F220" s="1" t="s">
        <v>461</v>
      </c>
      <c r="G220" s="1" t="s">
        <v>1177</v>
      </c>
      <c r="H220" s="1" t="s">
        <v>1186</v>
      </c>
      <c r="I220" s="1" t="s">
        <v>1187</v>
      </c>
      <c r="J220" s="1" t="s">
        <v>1191</v>
      </c>
      <c r="K220" s="1">
        <v>217895</v>
      </c>
      <c r="L220" s="1" t="s">
        <v>548</v>
      </c>
      <c r="M220" s="1" t="s">
        <v>637</v>
      </c>
      <c r="N220" s="1" t="s">
        <v>1054</v>
      </c>
      <c r="O220" s="106" t="s">
        <v>924</v>
      </c>
      <c r="P220" s="106" t="s">
        <v>925</v>
      </c>
      <c r="Q220" s="1">
        <v>13</v>
      </c>
      <c r="R220" s="1">
        <v>72</v>
      </c>
      <c r="S220" s="1">
        <f>Table_CampList[[#This Row],[Total]]/Table_CampList[[#This Row],[HH]]</f>
        <v>5.538461538461538</v>
      </c>
      <c r="T220" s="6" t="s">
        <v>1234</v>
      </c>
      <c r="U220" s="6" t="s">
        <v>1253</v>
      </c>
      <c r="V220" s="1" t="s">
        <v>650</v>
      </c>
      <c r="W220" s="1"/>
      <c r="BF220" s="5"/>
      <c r="BG220" s="5"/>
    </row>
    <row r="221" spans="1:59" s="104" customFormat="1" ht="16.5" customHeight="1">
      <c r="A221" s="286">
        <v>292</v>
      </c>
      <c r="B221" s="290">
        <v>41416</v>
      </c>
      <c r="C221" s="288" t="s">
        <v>1076</v>
      </c>
      <c r="D221" s="1" t="s">
        <v>434</v>
      </c>
      <c r="E221" s="1" t="s">
        <v>1079</v>
      </c>
      <c r="F221" s="1" t="s">
        <v>461</v>
      </c>
      <c r="G221" s="1" t="s">
        <v>1177</v>
      </c>
      <c r="H221" s="1" t="s">
        <v>1196</v>
      </c>
      <c r="I221" s="1" t="s">
        <v>1197</v>
      </c>
      <c r="J221" s="1" t="s">
        <v>1198</v>
      </c>
      <c r="K221" s="1">
        <v>217898</v>
      </c>
      <c r="L221" s="1" t="s">
        <v>547</v>
      </c>
      <c r="M221" s="1" t="s">
        <v>636</v>
      </c>
      <c r="N221" s="1" t="s">
        <v>1054</v>
      </c>
      <c r="O221" s="106" t="s">
        <v>922</v>
      </c>
      <c r="P221" s="106" t="s">
        <v>923</v>
      </c>
      <c r="Q221" s="1">
        <v>26</v>
      </c>
      <c r="R221" s="1">
        <v>138</v>
      </c>
      <c r="S221" s="1">
        <f>Table_CampList[[#This Row],[Total]]/Table_CampList[[#This Row],[HH]]</f>
        <v>5.3076923076923075</v>
      </c>
      <c r="T221" s="6" t="s">
        <v>1234</v>
      </c>
      <c r="U221" s="6" t="s">
        <v>1253</v>
      </c>
      <c r="V221" s="1" t="s">
        <v>650</v>
      </c>
      <c r="W221" s="1"/>
      <c r="BF221" s="5"/>
      <c r="BG221" s="5"/>
    </row>
    <row r="222" spans="1:59" s="104" customFormat="1" ht="16.5" customHeight="1">
      <c r="A222" s="286">
        <v>300</v>
      </c>
      <c r="B222" s="290">
        <v>41416</v>
      </c>
      <c r="C222" s="288" t="s">
        <v>1076</v>
      </c>
      <c r="D222" s="1" t="s">
        <v>434</v>
      </c>
      <c r="E222" s="1" t="s">
        <v>1079</v>
      </c>
      <c r="F222" s="1" t="s">
        <v>461</v>
      </c>
      <c r="G222" s="1" t="s">
        <v>1177</v>
      </c>
      <c r="H222" s="1" t="s">
        <v>1185</v>
      </c>
      <c r="I222" s="1" t="s">
        <v>1184</v>
      </c>
      <c r="J222" s="1" t="s">
        <v>1199</v>
      </c>
      <c r="K222" s="1">
        <v>197988</v>
      </c>
      <c r="L222" s="1" t="s">
        <v>555</v>
      </c>
      <c r="M222" s="1" t="s">
        <v>644</v>
      </c>
      <c r="N222" s="1" t="s">
        <v>1054</v>
      </c>
      <c r="O222" s="106" t="s">
        <v>938</v>
      </c>
      <c r="P222" s="106" t="s">
        <v>939</v>
      </c>
      <c r="Q222" s="1">
        <v>46</v>
      </c>
      <c r="R222" s="1">
        <v>338</v>
      </c>
      <c r="S222" s="1">
        <f>Table_CampList[[#This Row],[Total]]/Table_CampList[[#This Row],[HH]]</f>
        <v>7.3478260869565215</v>
      </c>
      <c r="T222" s="6" t="s">
        <v>1234</v>
      </c>
      <c r="U222" s="6" t="s">
        <v>1253</v>
      </c>
      <c r="V222" s="1" t="s">
        <v>465</v>
      </c>
      <c r="W222" s="1"/>
      <c r="BF222" s="5"/>
      <c r="BG222" s="5"/>
    </row>
    <row r="223" spans="1:59" s="104" customFormat="1" ht="16.5" customHeight="1">
      <c r="A223" s="286">
        <v>299</v>
      </c>
      <c r="B223" s="290">
        <v>41416</v>
      </c>
      <c r="C223" s="288" t="s">
        <v>1076</v>
      </c>
      <c r="D223" s="1" t="s">
        <v>434</v>
      </c>
      <c r="E223" s="1" t="s">
        <v>1079</v>
      </c>
      <c r="F223" s="1" t="s">
        <v>461</v>
      </c>
      <c r="G223" s="1" t="s">
        <v>1177</v>
      </c>
      <c r="H223" s="1" t="s">
        <v>1181</v>
      </c>
      <c r="I223" s="1" t="s">
        <v>1180</v>
      </c>
      <c r="J223" s="1" t="s">
        <v>1181</v>
      </c>
      <c r="K223" s="1">
        <v>198045</v>
      </c>
      <c r="L223" s="1" t="s">
        <v>554</v>
      </c>
      <c r="M223" s="1" t="s">
        <v>643</v>
      </c>
      <c r="N223" s="1" t="s">
        <v>1054</v>
      </c>
      <c r="O223" s="106" t="s">
        <v>936</v>
      </c>
      <c r="P223" s="106" t="s">
        <v>937</v>
      </c>
      <c r="Q223" s="1">
        <v>56</v>
      </c>
      <c r="R223" s="1">
        <v>354</v>
      </c>
      <c r="S223" s="1">
        <f>Table_CampList[[#This Row],[Total]]/Table_CampList[[#This Row],[HH]]</f>
        <v>6.321428571428571</v>
      </c>
      <c r="T223" s="6" t="s">
        <v>1234</v>
      </c>
      <c r="U223" s="6" t="s">
        <v>1253</v>
      </c>
      <c r="V223" s="1" t="s">
        <v>649</v>
      </c>
      <c r="W223" s="1"/>
      <c r="BF223" s="5"/>
      <c r="BG223" s="5"/>
    </row>
    <row r="224" spans="1:59" s="104" customFormat="1" ht="16.5" customHeight="1">
      <c r="A224" s="286">
        <v>301</v>
      </c>
      <c r="B224" s="290">
        <v>41416</v>
      </c>
      <c r="C224" s="288" t="s">
        <v>1076</v>
      </c>
      <c r="D224" s="1" t="s">
        <v>434</v>
      </c>
      <c r="E224" s="1" t="s">
        <v>1079</v>
      </c>
      <c r="F224" s="1" t="s">
        <v>461</v>
      </c>
      <c r="G224" s="1" t="s">
        <v>1177</v>
      </c>
      <c r="H224" s="1" t="s">
        <v>1181</v>
      </c>
      <c r="I224" s="1" t="s">
        <v>1180</v>
      </c>
      <c r="J224" s="1" t="s">
        <v>1190</v>
      </c>
      <c r="K224" s="1">
        <v>198049</v>
      </c>
      <c r="L224" s="1" t="s">
        <v>556</v>
      </c>
      <c r="M224" s="1" t="s">
        <v>645</v>
      </c>
      <c r="N224" s="1" t="s">
        <v>1054</v>
      </c>
      <c r="O224" s="106" t="s">
        <v>940</v>
      </c>
      <c r="P224" s="106" t="s">
        <v>941</v>
      </c>
      <c r="Q224" s="1">
        <v>18</v>
      </c>
      <c r="R224" s="1">
        <v>123</v>
      </c>
      <c r="S224" s="1">
        <f>Table_CampList[[#This Row],[Total]]/Table_CampList[[#This Row],[HH]]</f>
        <v>6.833333333333333</v>
      </c>
      <c r="T224" s="6" t="s">
        <v>1234</v>
      </c>
      <c r="U224" s="6" t="s">
        <v>1253</v>
      </c>
      <c r="V224" s="1" t="s">
        <v>465</v>
      </c>
      <c r="W224" s="1"/>
      <c r="BF224" s="5"/>
      <c r="BG224" s="5"/>
    </row>
    <row r="225" spans="1:59" s="104" customFormat="1" ht="16.5" customHeight="1">
      <c r="A225" s="286">
        <v>289</v>
      </c>
      <c r="B225" s="290">
        <v>41416</v>
      </c>
      <c r="C225" s="288" t="s">
        <v>1076</v>
      </c>
      <c r="D225" s="1" t="s">
        <v>434</v>
      </c>
      <c r="E225" s="1" t="s">
        <v>1079</v>
      </c>
      <c r="F225" s="1" t="s">
        <v>461</v>
      </c>
      <c r="G225" s="1" t="s">
        <v>1177</v>
      </c>
      <c r="H225" s="240" t="s">
        <v>1176</v>
      </c>
      <c r="I225" s="1" t="s">
        <v>1175</v>
      </c>
      <c r="J225" s="1" t="s">
        <v>1201</v>
      </c>
      <c r="K225" s="1">
        <v>198016</v>
      </c>
      <c r="L225" s="1" t="s">
        <v>544</v>
      </c>
      <c r="M225" s="1" t="s">
        <v>633</v>
      </c>
      <c r="N225" s="1" t="s">
        <v>1054</v>
      </c>
      <c r="O225" s="106" t="s">
        <v>918</v>
      </c>
      <c r="P225" s="106" t="s">
        <v>919</v>
      </c>
      <c r="Q225" s="1">
        <v>103</v>
      </c>
      <c r="R225" s="1">
        <v>485</v>
      </c>
      <c r="S225" s="1">
        <f>Table_CampList[[#This Row],[Total]]/Table_CampList[[#This Row],[HH]]</f>
        <v>4.70873786407767</v>
      </c>
      <c r="T225" s="6" t="s">
        <v>1234</v>
      </c>
      <c r="U225" s="6" t="s">
        <v>1253</v>
      </c>
      <c r="V225" s="1" t="s">
        <v>650</v>
      </c>
      <c r="W225" s="1"/>
      <c r="BF225" s="5"/>
      <c r="BG225" s="5"/>
    </row>
    <row r="226" spans="1:59" s="104" customFormat="1" ht="16.5" customHeight="1">
      <c r="A226" s="287">
        <v>294</v>
      </c>
      <c r="B226" s="291">
        <v>41416</v>
      </c>
      <c r="C226" s="289" t="s">
        <v>1076</v>
      </c>
      <c r="D226" s="1" t="s">
        <v>434</v>
      </c>
      <c r="E226" s="214" t="s">
        <v>1079</v>
      </c>
      <c r="F226" s="214" t="s">
        <v>461</v>
      </c>
      <c r="G226" s="214" t="s">
        <v>1177</v>
      </c>
      <c r="H226" s="214" t="s">
        <v>1242</v>
      </c>
      <c r="I226" s="214" t="s">
        <v>1247</v>
      </c>
      <c r="J226" s="214"/>
      <c r="K226" s="214"/>
      <c r="L226" s="214" t="s">
        <v>549</v>
      </c>
      <c r="M226" s="214" t="s">
        <v>638</v>
      </c>
      <c r="N226" s="214" t="s">
        <v>1054</v>
      </c>
      <c r="O226" s="106" t="s">
        <v>926</v>
      </c>
      <c r="P226" s="106" t="s">
        <v>927</v>
      </c>
      <c r="Q226" s="214">
        <v>18</v>
      </c>
      <c r="R226" s="214">
        <v>108</v>
      </c>
      <c r="S226" s="1">
        <f>Table_CampList[[#This Row],[Total]]/Table_CampList[[#This Row],[HH]]</f>
        <v>6</v>
      </c>
      <c r="T226" s="221" t="s">
        <v>1234</v>
      </c>
      <c r="U226" s="6" t="s">
        <v>1253</v>
      </c>
      <c r="V226" s="214" t="s">
        <v>649</v>
      </c>
      <c r="W226" s="214" t="s">
        <v>1243</v>
      </c>
      <c r="BF226" s="5"/>
      <c r="BG226" s="5"/>
    </row>
    <row r="227" spans="1:59" s="104" customFormat="1" ht="16.5" customHeight="1">
      <c r="A227" s="286">
        <v>295</v>
      </c>
      <c r="B227" s="290">
        <v>41416</v>
      </c>
      <c r="C227" s="288" t="s">
        <v>1076</v>
      </c>
      <c r="D227" s="1" t="s">
        <v>434</v>
      </c>
      <c r="E227" s="1" t="s">
        <v>1079</v>
      </c>
      <c r="F227" s="1" t="s">
        <v>461</v>
      </c>
      <c r="G227" s="1" t="s">
        <v>1177</v>
      </c>
      <c r="H227" s="1" t="s">
        <v>1178</v>
      </c>
      <c r="I227" s="105" t="str">
        <f>LEFT(Table_CampList[[#This Row],[Village_Pcode]],12)</f>
        <v>MMR012009701</v>
      </c>
      <c r="J227" s="1"/>
      <c r="K227" s="1" t="s">
        <v>1179</v>
      </c>
      <c r="L227" s="1" t="s">
        <v>550</v>
      </c>
      <c r="M227" s="1" t="s">
        <v>639</v>
      </c>
      <c r="N227" s="1" t="s">
        <v>1054</v>
      </c>
      <c r="O227" s="106" t="s">
        <v>928</v>
      </c>
      <c r="P227" s="106" t="s">
        <v>929</v>
      </c>
      <c r="Q227" s="1">
        <v>93</v>
      </c>
      <c r="R227" s="1">
        <v>725</v>
      </c>
      <c r="S227" s="1">
        <f>Table_CampList[[#This Row],[Total]]/Table_CampList[[#This Row],[HH]]</f>
        <v>7.795698924731183</v>
      </c>
      <c r="T227" s="6" t="s">
        <v>1234</v>
      </c>
      <c r="U227" s="6" t="s">
        <v>1253</v>
      </c>
      <c r="V227" s="1" t="s">
        <v>649</v>
      </c>
      <c r="W227" s="1"/>
      <c r="BF227" s="5"/>
      <c r="BG227" s="5"/>
    </row>
    <row r="228" spans="1:59" s="104" customFormat="1" ht="16.5" customHeight="1">
      <c r="A228" s="286">
        <v>296</v>
      </c>
      <c r="B228" s="290">
        <v>41416</v>
      </c>
      <c r="C228" s="288" t="s">
        <v>1076</v>
      </c>
      <c r="D228" s="1" t="s">
        <v>434</v>
      </c>
      <c r="E228" s="1" t="s">
        <v>1079</v>
      </c>
      <c r="F228" s="1" t="s">
        <v>461</v>
      </c>
      <c r="G228" s="1" t="s">
        <v>1177</v>
      </c>
      <c r="H228" s="1" t="s">
        <v>1178</v>
      </c>
      <c r="I228" s="105" t="str">
        <f>LEFT(Table_CampList[[#This Row],[Village_Pcode]],12)</f>
        <v>MMR012009701</v>
      </c>
      <c r="J228" s="1"/>
      <c r="K228" s="3" t="s">
        <v>1179</v>
      </c>
      <c r="L228" s="1" t="s">
        <v>551</v>
      </c>
      <c r="M228" s="1" t="s">
        <v>640</v>
      </c>
      <c r="N228" s="1" t="s">
        <v>1054</v>
      </c>
      <c r="O228" s="106" t="s">
        <v>930</v>
      </c>
      <c r="P228" s="106" t="s">
        <v>931</v>
      </c>
      <c r="Q228" s="1">
        <v>50</v>
      </c>
      <c r="R228" s="1">
        <v>335</v>
      </c>
      <c r="S228" s="1">
        <f>Table_CampList[[#This Row],[Total]]/Table_CampList[[#This Row],[HH]]</f>
        <v>6.7</v>
      </c>
      <c r="T228" s="6" t="s">
        <v>1234</v>
      </c>
      <c r="U228" s="6" t="s">
        <v>1253</v>
      </c>
      <c r="V228" s="1" t="s">
        <v>465</v>
      </c>
      <c r="W228" s="1"/>
      <c r="BF228" s="5"/>
      <c r="BG228" s="5"/>
    </row>
    <row r="229" spans="1:59" s="9" customFormat="1" ht="16.5" customHeight="1">
      <c r="A229" s="286">
        <v>297</v>
      </c>
      <c r="B229" s="290">
        <v>41416</v>
      </c>
      <c r="C229" s="288" t="s">
        <v>1076</v>
      </c>
      <c r="D229" s="1" t="s">
        <v>434</v>
      </c>
      <c r="E229" s="1" t="s">
        <v>1079</v>
      </c>
      <c r="F229" s="1" t="s">
        <v>461</v>
      </c>
      <c r="G229" s="1" t="s">
        <v>1177</v>
      </c>
      <c r="H229" s="1" t="s">
        <v>1188</v>
      </c>
      <c r="I229" s="105" t="str">
        <f>LEFT(Table_CampList[[#This Row],[Village_Pcode]],12)</f>
        <v>MMR012009701</v>
      </c>
      <c r="J229" s="1"/>
      <c r="K229" s="1" t="s">
        <v>1189</v>
      </c>
      <c r="L229" s="1" t="s">
        <v>552</v>
      </c>
      <c r="M229" s="1" t="s">
        <v>641</v>
      </c>
      <c r="N229" s="1" t="s">
        <v>1054</v>
      </c>
      <c r="O229" s="106" t="s">
        <v>932</v>
      </c>
      <c r="P229" s="106" t="s">
        <v>933</v>
      </c>
      <c r="Q229" s="1">
        <v>20</v>
      </c>
      <c r="R229" s="1">
        <v>154</v>
      </c>
      <c r="S229" s="1">
        <f>Table_CampList[[#This Row],[Total]]/Table_CampList[[#This Row],[HH]]</f>
        <v>7.7</v>
      </c>
      <c r="T229" s="1" t="s">
        <v>1234</v>
      </c>
      <c r="U229" s="6" t="s">
        <v>1253</v>
      </c>
      <c r="V229" s="1" t="s">
        <v>649</v>
      </c>
      <c r="W229" s="1"/>
      <c r="BF229" s="10"/>
      <c r="BG229" s="10"/>
    </row>
    <row r="230" spans="1:59" s="104" customFormat="1" ht="16.5" customHeight="1">
      <c r="A230" s="287">
        <v>288</v>
      </c>
      <c r="B230" s="291">
        <v>41416</v>
      </c>
      <c r="C230" s="289" t="s">
        <v>1077</v>
      </c>
      <c r="D230" s="1" t="s">
        <v>434</v>
      </c>
      <c r="E230" s="214" t="s">
        <v>1079</v>
      </c>
      <c r="F230" s="214" t="s">
        <v>461</v>
      </c>
      <c r="G230" s="214" t="s">
        <v>1177</v>
      </c>
      <c r="H230" s="214" t="s">
        <v>915</v>
      </c>
      <c r="I230" s="214" t="s">
        <v>915</v>
      </c>
      <c r="J230" s="214" t="s">
        <v>915</v>
      </c>
      <c r="K230" s="214" t="s">
        <v>915</v>
      </c>
      <c r="L230" s="214" t="s">
        <v>543</v>
      </c>
      <c r="M230" s="214" t="s">
        <v>632</v>
      </c>
      <c r="N230" s="214" t="s">
        <v>1054</v>
      </c>
      <c r="O230" s="213" t="s">
        <v>915</v>
      </c>
      <c r="P230" s="213" t="s">
        <v>915</v>
      </c>
      <c r="Q230" s="214">
        <v>0</v>
      </c>
      <c r="R230" s="214">
        <v>0</v>
      </c>
      <c r="S230" s="1" t="e">
        <f>Table_CampList[[#This Row],[Total]]/Table_CampList[[#This Row],[HH]]</f>
        <v>#DIV/0!</v>
      </c>
      <c r="T230" s="214" t="s">
        <v>1234</v>
      </c>
      <c r="U230" s="6" t="s">
        <v>1253</v>
      </c>
      <c r="V230" s="214" t="s">
        <v>650</v>
      </c>
      <c r="W230" s="214"/>
      <c r="BF230" s="5"/>
      <c r="BG230" s="5"/>
    </row>
    <row r="231" spans="1:59" s="104" customFormat="1" ht="16.5" customHeight="1">
      <c r="A231" s="287">
        <v>290</v>
      </c>
      <c r="B231" s="291">
        <v>41416</v>
      </c>
      <c r="C231" s="289" t="s">
        <v>1077</v>
      </c>
      <c r="D231" s="1" t="s">
        <v>434</v>
      </c>
      <c r="E231" s="214" t="s">
        <v>1079</v>
      </c>
      <c r="F231" s="214" t="s">
        <v>461</v>
      </c>
      <c r="G231" s="214" t="s">
        <v>1177</v>
      </c>
      <c r="H231" s="214" t="s">
        <v>915</v>
      </c>
      <c r="I231" s="214" t="s">
        <v>915</v>
      </c>
      <c r="J231" s="214" t="s">
        <v>915</v>
      </c>
      <c r="K231" s="214" t="s">
        <v>915</v>
      </c>
      <c r="L231" s="214" t="s">
        <v>545</v>
      </c>
      <c r="M231" s="214" t="s">
        <v>634</v>
      </c>
      <c r="N231" s="214" t="s">
        <v>1054</v>
      </c>
      <c r="O231" s="213" t="s">
        <v>915</v>
      </c>
      <c r="P231" s="213" t="s">
        <v>915</v>
      </c>
      <c r="Q231" s="214">
        <v>0</v>
      </c>
      <c r="R231" s="214">
        <v>0</v>
      </c>
      <c r="S231" s="1" t="e">
        <f>Table_CampList[[#This Row],[Total]]/Table_CampList[[#This Row],[HH]]</f>
        <v>#DIV/0!</v>
      </c>
      <c r="T231" s="214" t="s">
        <v>1234</v>
      </c>
      <c r="U231" s="6" t="s">
        <v>1253</v>
      </c>
      <c r="V231" s="214" t="s">
        <v>464</v>
      </c>
      <c r="W231" s="214"/>
      <c r="BF231" s="5"/>
      <c r="BG231" s="5"/>
    </row>
    <row r="232" spans="1:59" s="9" customFormat="1" ht="16.5" customHeight="1">
      <c r="A232" s="286">
        <v>226</v>
      </c>
      <c r="B232" s="290">
        <v>41416</v>
      </c>
      <c r="C232" s="288" t="s">
        <v>1076</v>
      </c>
      <c r="D232" s="1" t="s">
        <v>434</v>
      </c>
      <c r="E232" s="1" t="s">
        <v>1079</v>
      </c>
      <c r="F232" s="1" t="s">
        <v>454</v>
      </c>
      <c r="G232" s="1" t="s">
        <v>1101</v>
      </c>
      <c r="H232" s="1" t="s">
        <v>1108</v>
      </c>
      <c r="I232" s="1" t="s">
        <v>1107</v>
      </c>
      <c r="J232" s="212" t="s">
        <v>1240</v>
      </c>
      <c r="K232" s="1">
        <v>217973</v>
      </c>
      <c r="L232" s="1" t="s">
        <v>481</v>
      </c>
      <c r="M232" s="1" t="s">
        <v>570</v>
      </c>
      <c r="N232" s="1" t="s">
        <v>1054</v>
      </c>
      <c r="O232" s="1" t="s">
        <v>677</v>
      </c>
      <c r="P232" s="1" t="s">
        <v>678</v>
      </c>
      <c r="Q232" s="1">
        <v>705</v>
      </c>
      <c r="R232" s="1">
        <v>3900</v>
      </c>
      <c r="S232" s="1">
        <f>Table_CampList[[#This Row],[Total]]/Table_CampList[[#This Row],[HH]]</f>
        <v>5.531914893617022</v>
      </c>
      <c r="T232" s="1" t="s">
        <v>1234</v>
      </c>
      <c r="U232" s="6" t="s">
        <v>1253</v>
      </c>
      <c r="V232" s="1" t="s">
        <v>464</v>
      </c>
      <c r="W232" s="1"/>
      <c r="BF232" s="10"/>
      <c r="BG232" s="10"/>
    </row>
    <row r="233" spans="1:59" s="104" customFormat="1" ht="16.5" customHeight="1">
      <c r="A233" s="286">
        <v>225</v>
      </c>
      <c r="B233" s="290">
        <v>41416</v>
      </c>
      <c r="C233" s="288" t="s">
        <v>1076</v>
      </c>
      <c r="D233" s="1" t="s">
        <v>434</v>
      </c>
      <c r="E233" s="1" t="s">
        <v>1079</v>
      </c>
      <c r="F233" s="1" t="s">
        <v>454</v>
      </c>
      <c r="G233" s="1" t="s">
        <v>1101</v>
      </c>
      <c r="H233" s="1" t="s">
        <v>1211</v>
      </c>
      <c r="I233" s="105" t="str">
        <f>LEFT(Table_CampList[[#This Row],[Village_Pcode]],12)</f>
        <v>MMR012006701</v>
      </c>
      <c r="J233" s="1"/>
      <c r="K233" s="1" t="s">
        <v>1212</v>
      </c>
      <c r="L233" s="1" t="s">
        <v>480</v>
      </c>
      <c r="M233" s="1" t="s">
        <v>569</v>
      </c>
      <c r="N233" s="1" t="s">
        <v>1054</v>
      </c>
      <c r="O233" s="1" t="s">
        <v>675</v>
      </c>
      <c r="P233" s="1" t="s">
        <v>676</v>
      </c>
      <c r="Q233" s="1">
        <v>44</v>
      </c>
      <c r="R233" s="1">
        <v>269</v>
      </c>
      <c r="S233" s="1">
        <f>Table_CampList[[#This Row],[Total]]/Table_CampList[[#This Row],[HH]]</f>
        <v>6.113636363636363</v>
      </c>
      <c r="T233" s="1" t="s">
        <v>1234</v>
      </c>
      <c r="U233" s="6" t="s">
        <v>1253</v>
      </c>
      <c r="V233" s="1" t="s">
        <v>464</v>
      </c>
      <c r="W233" s="1"/>
      <c r="BF233" s="5"/>
      <c r="BG233" s="5"/>
    </row>
    <row r="234" spans="1:59" s="104" customFormat="1" ht="16.5" customHeight="1">
      <c r="A234" s="286">
        <v>214</v>
      </c>
      <c r="B234" s="290">
        <v>41416</v>
      </c>
      <c r="C234" s="288" t="s">
        <v>1076</v>
      </c>
      <c r="D234" s="1" t="s">
        <v>434</v>
      </c>
      <c r="E234" s="1" t="s">
        <v>1079</v>
      </c>
      <c r="F234" s="1" t="s">
        <v>452</v>
      </c>
      <c r="G234" s="1" t="s">
        <v>1080</v>
      </c>
      <c r="H234" s="1" t="s">
        <v>1086</v>
      </c>
      <c r="I234" s="1" t="s">
        <v>1085</v>
      </c>
      <c r="J234" s="1" t="s">
        <v>1214</v>
      </c>
      <c r="K234" s="1">
        <v>196997</v>
      </c>
      <c r="L234" s="1" t="s">
        <v>469</v>
      </c>
      <c r="M234" s="1" t="s">
        <v>558</v>
      </c>
      <c r="N234" s="1" t="s">
        <v>1054</v>
      </c>
      <c r="O234" s="1" t="s">
        <v>653</v>
      </c>
      <c r="P234" s="1" t="s">
        <v>654</v>
      </c>
      <c r="Q234" s="1">
        <v>203</v>
      </c>
      <c r="R234" s="1">
        <v>1006</v>
      </c>
      <c r="S234" s="1">
        <f>Table_CampList[[#This Row],[Total]]/Table_CampList[[#This Row],[HH]]</f>
        <v>4.955665024630542</v>
      </c>
      <c r="T234" s="1" t="s">
        <v>1234</v>
      </c>
      <c r="U234" s="6" t="s">
        <v>1253</v>
      </c>
      <c r="V234" s="1" t="s">
        <v>646</v>
      </c>
      <c r="W234" s="1"/>
      <c r="BF234" s="5"/>
      <c r="BG234" s="5"/>
    </row>
    <row r="235" spans="1:59" s="104" customFormat="1" ht="16.5" customHeight="1">
      <c r="A235" s="286">
        <v>213</v>
      </c>
      <c r="B235" s="290">
        <v>41416</v>
      </c>
      <c r="C235" s="288" t="s">
        <v>1076</v>
      </c>
      <c r="D235" s="1" t="s">
        <v>434</v>
      </c>
      <c r="E235" s="1" t="s">
        <v>1079</v>
      </c>
      <c r="F235" s="1" t="s">
        <v>452</v>
      </c>
      <c r="G235" s="1" t="s">
        <v>1080</v>
      </c>
      <c r="H235" s="1" t="s">
        <v>1086</v>
      </c>
      <c r="I235" s="1" t="s">
        <v>1085</v>
      </c>
      <c r="J235" s="1" t="s">
        <v>1086</v>
      </c>
      <c r="K235" s="1">
        <v>196984</v>
      </c>
      <c r="L235" s="1" t="s">
        <v>468</v>
      </c>
      <c r="M235" s="1" t="s">
        <v>557</v>
      </c>
      <c r="N235" s="1" t="s">
        <v>1054</v>
      </c>
      <c r="O235" s="1" t="s">
        <v>651</v>
      </c>
      <c r="P235" s="1" t="s">
        <v>652</v>
      </c>
      <c r="Q235" s="1">
        <v>19</v>
      </c>
      <c r="R235" s="1">
        <v>149</v>
      </c>
      <c r="S235" s="1">
        <f>Table_CampList[[#This Row],[Total]]/Table_CampList[[#This Row],[HH]]</f>
        <v>7.842105263157895</v>
      </c>
      <c r="T235" s="1" t="s">
        <v>1234</v>
      </c>
      <c r="U235" s="6" t="s">
        <v>1253</v>
      </c>
      <c r="V235" s="1" t="s">
        <v>646</v>
      </c>
      <c r="W235" s="1"/>
      <c r="BF235" s="5"/>
      <c r="BG235" s="5"/>
    </row>
    <row r="236" spans="1:59" s="104" customFormat="1" ht="16.5" customHeight="1">
      <c r="A236" s="286">
        <v>215</v>
      </c>
      <c r="B236" s="290">
        <v>41416</v>
      </c>
      <c r="C236" s="288" t="s">
        <v>1076</v>
      </c>
      <c r="D236" s="1" t="s">
        <v>434</v>
      </c>
      <c r="E236" s="1" t="s">
        <v>1079</v>
      </c>
      <c r="F236" s="1" t="s">
        <v>452</v>
      </c>
      <c r="G236" s="1" t="s">
        <v>1080</v>
      </c>
      <c r="H236" s="1" t="s">
        <v>1088</v>
      </c>
      <c r="I236" s="1" t="s">
        <v>1087</v>
      </c>
      <c r="J236" s="1" t="s">
        <v>470</v>
      </c>
      <c r="K236" s="1">
        <v>196995</v>
      </c>
      <c r="L236" s="1" t="s">
        <v>470</v>
      </c>
      <c r="M236" s="1" t="s">
        <v>559</v>
      </c>
      <c r="N236" s="1" t="s">
        <v>1054</v>
      </c>
      <c r="O236" s="1" t="s">
        <v>655</v>
      </c>
      <c r="P236" s="1" t="s">
        <v>656</v>
      </c>
      <c r="Q236" s="1">
        <v>86</v>
      </c>
      <c r="R236" s="1">
        <v>476</v>
      </c>
      <c r="S236" s="1">
        <f>Table_CampList[[#This Row],[Total]]/Table_CampList[[#This Row],[HH]]</f>
        <v>5.534883720930233</v>
      </c>
      <c r="T236" s="1" t="s">
        <v>1234</v>
      </c>
      <c r="U236" s="6" t="s">
        <v>1253</v>
      </c>
      <c r="V236" s="1" t="s">
        <v>646</v>
      </c>
      <c r="W236" s="1"/>
      <c r="BF236" s="5"/>
      <c r="BG236" s="5"/>
    </row>
    <row r="237" spans="1:59" s="9" customFormat="1" ht="16.5" customHeight="1">
      <c r="A237" s="286">
        <v>220</v>
      </c>
      <c r="B237" s="290">
        <v>41416</v>
      </c>
      <c r="C237" s="288" t="s">
        <v>1076</v>
      </c>
      <c r="D237" s="1" t="s">
        <v>434</v>
      </c>
      <c r="E237" s="1" t="s">
        <v>1079</v>
      </c>
      <c r="F237" s="1" t="s">
        <v>452</v>
      </c>
      <c r="G237" s="1" t="s">
        <v>1080</v>
      </c>
      <c r="H237" s="1" t="s">
        <v>1084</v>
      </c>
      <c r="I237" s="1" t="s">
        <v>1083</v>
      </c>
      <c r="J237" s="1" t="s">
        <v>1213</v>
      </c>
      <c r="K237" s="1">
        <v>197025</v>
      </c>
      <c r="L237" s="1" t="s">
        <v>475</v>
      </c>
      <c r="M237" s="1" t="s">
        <v>564</v>
      </c>
      <c r="N237" s="1" t="s">
        <v>1054</v>
      </c>
      <c r="O237" s="1" t="s">
        <v>665</v>
      </c>
      <c r="P237" s="1" t="s">
        <v>666</v>
      </c>
      <c r="Q237" s="1">
        <v>224</v>
      </c>
      <c r="R237" s="1">
        <v>1305</v>
      </c>
      <c r="S237" s="1">
        <f>Table_CampList[[#This Row],[Total]]/Table_CampList[[#This Row],[HH]]</f>
        <v>5.825892857142857</v>
      </c>
      <c r="T237" s="1" t="s">
        <v>1234</v>
      </c>
      <c r="U237" s="6" t="s">
        <v>1253</v>
      </c>
      <c r="V237" s="1" t="s">
        <v>646</v>
      </c>
      <c r="W237" s="1"/>
      <c r="BF237" s="10"/>
      <c r="BG237" s="10"/>
    </row>
    <row r="238" spans="1:59" s="104" customFormat="1" ht="16.5" customHeight="1">
      <c r="A238" s="286">
        <v>219</v>
      </c>
      <c r="B238" s="290">
        <v>41416</v>
      </c>
      <c r="C238" s="288" t="s">
        <v>1076</v>
      </c>
      <c r="D238" s="1" t="s">
        <v>434</v>
      </c>
      <c r="E238" s="1" t="s">
        <v>1079</v>
      </c>
      <c r="F238" s="1" t="s">
        <v>452</v>
      </c>
      <c r="G238" s="1" t="s">
        <v>1080</v>
      </c>
      <c r="H238" s="1" t="s">
        <v>1084</v>
      </c>
      <c r="I238" s="1" t="s">
        <v>1083</v>
      </c>
      <c r="J238" s="1" t="s">
        <v>474</v>
      </c>
      <c r="K238" s="1">
        <v>197021</v>
      </c>
      <c r="L238" s="1" t="s">
        <v>474</v>
      </c>
      <c r="M238" s="1" t="s">
        <v>563</v>
      </c>
      <c r="N238" s="1" t="s">
        <v>1054</v>
      </c>
      <c r="O238" s="1" t="s">
        <v>663</v>
      </c>
      <c r="P238" s="1" t="s">
        <v>664</v>
      </c>
      <c r="Q238" s="1">
        <v>15</v>
      </c>
      <c r="R238" s="1">
        <v>79</v>
      </c>
      <c r="S238" s="1">
        <f>Table_CampList[[#This Row],[Total]]/Table_CampList[[#This Row],[HH]]</f>
        <v>5.266666666666667</v>
      </c>
      <c r="T238" s="1" t="s">
        <v>1234</v>
      </c>
      <c r="U238" s="6" t="s">
        <v>1253</v>
      </c>
      <c r="V238" s="1" t="s">
        <v>646</v>
      </c>
      <c r="W238" s="1"/>
      <c r="BF238" s="5"/>
      <c r="BG238" s="5"/>
    </row>
    <row r="239" spans="1:59" s="104" customFormat="1" ht="16.5" customHeight="1">
      <c r="A239" s="286">
        <v>217</v>
      </c>
      <c r="B239" s="290">
        <v>41416</v>
      </c>
      <c r="C239" s="288" t="s">
        <v>1076</v>
      </c>
      <c r="D239" s="1" t="s">
        <v>434</v>
      </c>
      <c r="E239" s="1" t="s">
        <v>1079</v>
      </c>
      <c r="F239" s="1" t="s">
        <v>452</v>
      </c>
      <c r="G239" s="1" t="s">
        <v>1080</v>
      </c>
      <c r="H239" s="298" t="s">
        <v>1082</v>
      </c>
      <c r="I239" s="240" t="s">
        <v>1081</v>
      </c>
      <c r="J239" s="1" t="s">
        <v>1082</v>
      </c>
      <c r="K239" s="311">
        <v>197062</v>
      </c>
      <c r="L239" s="1" t="s">
        <v>472</v>
      </c>
      <c r="M239" s="1" t="s">
        <v>561</v>
      </c>
      <c r="N239" s="1" t="s">
        <v>1054</v>
      </c>
      <c r="O239" s="1" t="s">
        <v>659</v>
      </c>
      <c r="P239" s="1" t="s">
        <v>660</v>
      </c>
      <c r="Q239" s="1">
        <v>229</v>
      </c>
      <c r="R239" s="1">
        <v>1565</v>
      </c>
      <c r="S239" s="1">
        <f>Table_CampList[[#This Row],[Total]]/Table_CampList[[#This Row],[HH]]</f>
        <v>6.834061135371179</v>
      </c>
      <c r="T239" s="1" t="s">
        <v>1234</v>
      </c>
      <c r="U239" s="6" t="s">
        <v>1253</v>
      </c>
      <c r="V239" s="1" t="s">
        <v>646</v>
      </c>
      <c r="W239" s="1"/>
      <c r="BF239" s="5"/>
      <c r="BG239" s="5"/>
    </row>
    <row r="240" spans="1:59" s="104" customFormat="1" ht="16.5" customHeight="1">
      <c r="A240" s="286">
        <v>216</v>
      </c>
      <c r="B240" s="290">
        <v>41416</v>
      </c>
      <c r="C240" s="288" t="s">
        <v>1076</v>
      </c>
      <c r="D240" s="1" t="s">
        <v>434</v>
      </c>
      <c r="E240" s="1" t="s">
        <v>1079</v>
      </c>
      <c r="F240" s="1" t="s">
        <v>452</v>
      </c>
      <c r="G240" s="1" t="s">
        <v>1080</v>
      </c>
      <c r="H240" s="1" t="s">
        <v>1092</v>
      </c>
      <c r="I240" s="1" t="s">
        <v>1091</v>
      </c>
      <c r="J240" s="1" t="s">
        <v>1215</v>
      </c>
      <c r="K240" s="1">
        <v>197063</v>
      </c>
      <c r="L240" s="1" t="s">
        <v>471</v>
      </c>
      <c r="M240" s="1" t="s">
        <v>560</v>
      </c>
      <c r="N240" s="1" t="s">
        <v>1054</v>
      </c>
      <c r="O240" s="1" t="s">
        <v>657</v>
      </c>
      <c r="P240" s="1" t="s">
        <v>658</v>
      </c>
      <c r="Q240" s="1">
        <v>10</v>
      </c>
      <c r="R240" s="1">
        <v>80</v>
      </c>
      <c r="S240" s="1">
        <f>Table_CampList[[#This Row],[Total]]/Table_CampList[[#This Row],[HH]]</f>
        <v>8</v>
      </c>
      <c r="T240" s="1" t="s">
        <v>1234</v>
      </c>
      <c r="U240" s="6" t="s">
        <v>1253</v>
      </c>
      <c r="V240" s="1" t="s">
        <v>465</v>
      </c>
      <c r="W240" s="1"/>
      <c r="BF240" s="5"/>
      <c r="BG240" s="5"/>
    </row>
    <row r="241" spans="1:59" s="104" customFormat="1" ht="16.5" customHeight="1">
      <c r="A241" s="286">
        <v>218</v>
      </c>
      <c r="B241" s="290">
        <v>41416</v>
      </c>
      <c r="C241" s="288" t="s">
        <v>1076</v>
      </c>
      <c r="D241" s="1" t="s">
        <v>434</v>
      </c>
      <c r="E241" s="1" t="s">
        <v>1079</v>
      </c>
      <c r="F241" s="1" t="s">
        <v>452</v>
      </c>
      <c r="G241" s="1" t="s">
        <v>1080</v>
      </c>
      <c r="H241" s="1" t="s">
        <v>1090</v>
      </c>
      <c r="I241" s="1" t="s">
        <v>1089</v>
      </c>
      <c r="J241" s="1" t="s">
        <v>473</v>
      </c>
      <c r="K241" s="1">
        <v>197150</v>
      </c>
      <c r="L241" s="1" t="s">
        <v>473</v>
      </c>
      <c r="M241" s="1" t="s">
        <v>562</v>
      </c>
      <c r="N241" s="1" t="s">
        <v>1054</v>
      </c>
      <c r="O241" s="1" t="s">
        <v>661</v>
      </c>
      <c r="P241" s="1" t="s">
        <v>662</v>
      </c>
      <c r="Q241" s="1">
        <v>86</v>
      </c>
      <c r="R241" s="1">
        <v>492</v>
      </c>
      <c r="S241" s="1">
        <f>Table_CampList[[#This Row],[Total]]/Table_CampList[[#This Row],[HH]]</f>
        <v>5.72093023255814</v>
      </c>
      <c r="T241" s="1" t="s">
        <v>1234</v>
      </c>
      <c r="U241" s="6" t="s">
        <v>1253</v>
      </c>
      <c r="V241" s="1" t="s">
        <v>646</v>
      </c>
      <c r="W241" s="1"/>
      <c r="BF241" s="5"/>
      <c r="BG241" s="5"/>
    </row>
    <row r="242" spans="1:59" s="104" customFormat="1" ht="16.5" customHeight="1">
      <c r="A242" s="286">
        <v>221</v>
      </c>
      <c r="B242" s="290">
        <v>41416</v>
      </c>
      <c r="C242" s="288" t="s">
        <v>1076</v>
      </c>
      <c r="D242" s="1" t="s">
        <v>434</v>
      </c>
      <c r="E242" s="1" t="s">
        <v>1079</v>
      </c>
      <c r="F242" s="1" t="s">
        <v>453</v>
      </c>
      <c r="G242" s="1" t="s">
        <v>1093</v>
      </c>
      <c r="H242" s="1" t="s">
        <v>1096</v>
      </c>
      <c r="I242" s="1" t="s">
        <v>1097</v>
      </c>
      <c r="J242" s="212" t="s">
        <v>1096</v>
      </c>
      <c r="K242" s="1">
        <v>196428</v>
      </c>
      <c r="L242" s="1" t="s">
        <v>476</v>
      </c>
      <c r="M242" s="1" t="s">
        <v>565</v>
      </c>
      <c r="N242" s="1" t="s">
        <v>1054</v>
      </c>
      <c r="O242" s="1" t="s">
        <v>667</v>
      </c>
      <c r="P242" s="1" t="s">
        <v>668</v>
      </c>
      <c r="Q242" s="1">
        <v>204</v>
      </c>
      <c r="R242" s="1">
        <v>1400</v>
      </c>
      <c r="S242" s="1">
        <f>Table_CampList[[#This Row],[Total]]/Table_CampList[[#This Row],[HH]]</f>
        <v>6.862745098039215</v>
      </c>
      <c r="T242" s="1" t="s">
        <v>1234</v>
      </c>
      <c r="U242" s="6" t="s">
        <v>1253</v>
      </c>
      <c r="V242" s="1" t="s">
        <v>646</v>
      </c>
      <c r="W242" s="1"/>
      <c r="BF242" s="5"/>
      <c r="BG242" s="5"/>
    </row>
    <row r="243" spans="1:59" s="104" customFormat="1" ht="16.5" customHeight="1">
      <c r="A243" s="286">
        <v>224</v>
      </c>
      <c r="B243" s="290">
        <v>41416</v>
      </c>
      <c r="C243" s="288" t="s">
        <v>1076</v>
      </c>
      <c r="D243" s="1" t="s">
        <v>434</v>
      </c>
      <c r="E243" s="1" t="s">
        <v>1079</v>
      </c>
      <c r="F243" s="1" t="s">
        <v>453</v>
      </c>
      <c r="G243" s="1" t="s">
        <v>1093</v>
      </c>
      <c r="H243" s="3" t="s">
        <v>1099</v>
      </c>
      <c r="I243" s="1" t="s">
        <v>1098</v>
      </c>
      <c r="J243" s="1" t="s">
        <v>1216</v>
      </c>
      <c r="K243" s="1">
        <v>196441</v>
      </c>
      <c r="L243" s="1" t="s">
        <v>479</v>
      </c>
      <c r="M243" s="1" t="s">
        <v>568</v>
      </c>
      <c r="N243" s="1" t="s">
        <v>1054</v>
      </c>
      <c r="O243" s="1" t="s">
        <v>673</v>
      </c>
      <c r="P243" s="1" t="s">
        <v>674</v>
      </c>
      <c r="Q243" s="1">
        <v>10</v>
      </c>
      <c r="R243" s="1">
        <v>61</v>
      </c>
      <c r="S243" s="1">
        <f>Table_CampList[[#This Row],[Total]]/Table_CampList[[#This Row],[HH]]</f>
        <v>6.1</v>
      </c>
      <c r="T243" s="1" t="s">
        <v>1234</v>
      </c>
      <c r="U243" s="6" t="s">
        <v>1253</v>
      </c>
      <c r="V243" s="1" t="s">
        <v>647</v>
      </c>
      <c r="W243" s="1"/>
      <c r="BF243" s="5"/>
      <c r="BG243" s="5"/>
    </row>
    <row r="244" spans="1:59" s="104" customFormat="1" ht="16.5" customHeight="1">
      <c r="A244" s="286">
        <v>222</v>
      </c>
      <c r="B244" s="290">
        <v>41416</v>
      </c>
      <c r="C244" s="288" t="s">
        <v>1076</v>
      </c>
      <c r="D244" s="1" t="s">
        <v>434</v>
      </c>
      <c r="E244" s="1" t="s">
        <v>1079</v>
      </c>
      <c r="F244" s="1" t="s">
        <v>453</v>
      </c>
      <c r="G244" s="1" t="s">
        <v>1093</v>
      </c>
      <c r="H244" s="1" t="s">
        <v>1095</v>
      </c>
      <c r="I244" s="1" t="s">
        <v>1094</v>
      </c>
      <c r="J244" s="1" t="s">
        <v>1095</v>
      </c>
      <c r="K244" s="1">
        <v>196507</v>
      </c>
      <c r="L244" s="1" t="s">
        <v>477</v>
      </c>
      <c r="M244" s="1" t="s">
        <v>566</v>
      </c>
      <c r="N244" s="1" t="s">
        <v>1054</v>
      </c>
      <c r="O244" s="1" t="s">
        <v>669</v>
      </c>
      <c r="P244" s="1" t="s">
        <v>670</v>
      </c>
      <c r="Q244" s="1">
        <v>398</v>
      </c>
      <c r="R244" s="1">
        <v>2544</v>
      </c>
      <c r="S244" s="1">
        <f>Table_CampList[[#This Row],[Total]]/Table_CampList[[#This Row],[HH]]</f>
        <v>6.391959798994975</v>
      </c>
      <c r="T244" s="1" t="s">
        <v>1234</v>
      </c>
      <c r="U244" s="6" t="s">
        <v>1253</v>
      </c>
      <c r="V244" s="1" t="s">
        <v>646</v>
      </c>
      <c r="W244" s="1"/>
      <c r="BF244" s="5"/>
      <c r="BG244" s="5"/>
    </row>
    <row r="245" spans="1:59" s="104" customFormat="1" ht="16.5" customHeight="1">
      <c r="A245" s="286">
        <v>223</v>
      </c>
      <c r="B245" s="290">
        <v>41416</v>
      </c>
      <c r="C245" s="288" t="s">
        <v>1076</v>
      </c>
      <c r="D245" s="1" t="s">
        <v>434</v>
      </c>
      <c r="E245" s="1" t="s">
        <v>1079</v>
      </c>
      <c r="F245" s="1" t="s">
        <v>453</v>
      </c>
      <c r="G245" s="1" t="s">
        <v>1093</v>
      </c>
      <c r="H245" s="214" t="s">
        <v>1242</v>
      </c>
      <c r="I245" s="214" t="s">
        <v>1241</v>
      </c>
      <c r="J245" s="214"/>
      <c r="K245" s="214"/>
      <c r="L245" s="214" t="s">
        <v>478</v>
      </c>
      <c r="M245" s="1" t="s">
        <v>567</v>
      </c>
      <c r="N245" s="1" t="s">
        <v>1054</v>
      </c>
      <c r="O245" s="1" t="s">
        <v>671</v>
      </c>
      <c r="P245" s="1" t="s">
        <v>672</v>
      </c>
      <c r="Q245" s="1">
        <v>31</v>
      </c>
      <c r="R245" s="1">
        <v>130</v>
      </c>
      <c r="S245" s="1">
        <f>Table_CampList[[#This Row],[Total]]/Table_CampList[[#This Row],[HH]]</f>
        <v>4.193548387096774</v>
      </c>
      <c r="T245" s="1" t="s">
        <v>1234</v>
      </c>
      <c r="U245" s="6" t="s">
        <v>1253</v>
      </c>
      <c r="V245" s="1" t="s">
        <v>647</v>
      </c>
      <c r="W245" s="1" t="s">
        <v>1243</v>
      </c>
      <c r="BF245" s="5"/>
      <c r="BG245" s="5"/>
    </row>
    <row r="246" spans="1:59" s="104" customFormat="1" ht="16.5" customHeight="1">
      <c r="A246" s="286">
        <v>229</v>
      </c>
      <c r="B246" s="290">
        <v>41416</v>
      </c>
      <c r="C246" s="288" t="s">
        <v>1076</v>
      </c>
      <c r="D246" s="1" t="s">
        <v>434</v>
      </c>
      <c r="E246" s="1" t="s">
        <v>1079</v>
      </c>
      <c r="F246" s="1" t="s">
        <v>455</v>
      </c>
      <c r="G246" s="1" t="s">
        <v>1100</v>
      </c>
      <c r="H246" s="1" t="s">
        <v>1103</v>
      </c>
      <c r="I246" s="1" t="s">
        <v>1102</v>
      </c>
      <c r="J246" s="1" t="s">
        <v>1217</v>
      </c>
      <c r="K246" s="1">
        <v>197414</v>
      </c>
      <c r="L246" s="1" t="s">
        <v>484</v>
      </c>
      <c r="M246" s="1" t="s">
        <v>573</v>
      </c>
      <c r="N246" s="1" t="s">
        <v>1054</v>
      </c>
      <c r="O246" s="1" t="s">
        <v>683</v>
      </c>
      <c r="P246" s="1" t="s">
        <v>684</v>
      </c>
      <c r="Q246" s="1">
        <v>171</v>
      </c>
      <c r="R246" s="1">
        <v>1029</v>
      </c>
      <c r="S246" s="1">
        <f>Table_CampList[[#This Row],[Total]]/Table_CampList[[#This Row],[HH]]</f>
        <v>6.017543859649122</v>
      </c>
      <c r="T246" s="1" t="s">
        <v>1234</v>
      </c>
      <c r="U246" s="6" t="s">
        <v>1253</v>
      </c>
      <c r="V246" s="1" t="s">
        <v>648</v>
      </c>
      <c r="W246" s="1"/>
      <c r="BF246" s="5"/>
      <c r="BG246" s="5"/>
    </row>
    <row r="247" spans="1:59" s="104" customFormat="1" ht="16.5" customHeight="1">
      <c r="A247" s="286">
        <v>230</v>
      </c>
      <c r="B247" s="290">
        <v>41416</v>
      </c>
      <c r="C247" s="288" t="s">
        <v>1076</v>
      </c>
      <c r="D247" s="1" t="s">
        <v>434</v>
      </c>
      <c r="E247" s="1" t="s">
        <v>1079</v>
      </c>
      <c r="F247" s="1" t="s">
        <v>455</v>
      </c>
      <c r="G247" s="1" t="s">
        <v>1100</v>
      </c>
      <c r="H247" s="1" t="s">
        <v>1106</v>
      </c>
      <c r="I247" s="1" t="s">
        <v>1105</v>
      </c>
      <c r="J247" s="1" t="s">
        <v>485</v>
      </c>
      <c r="K247" s="1">
        <v>197533</v>
      </c>
      <c r="L247" s="1" t="s">
        <v>485</v>
      </c>
      <c r="M247" s="1" t="s">
        <v>574</v>
      </c>
      <c r="N247" s="1" t="s">
        <v>1054</v>
      </c>
      <c r="O247" s="1" t="s">
        <v>685</v>
      </c>
      <c r="P247" s="1" t="s">
        <v>686</v>
      </c>
      <c r="Q247" s="1">
        <v>778</v>
      </c>
      <c r="R247" s="1">
        <v>4401</v>
      </c>
      <c r="S247" s="1">
        <f>Table_CampList[[#This Row],[Total]]/Table_CampList[[#This Row],[HH]]</f>
        <v>5.656812339331619</v>
      </c>
      <c r="T247" s="1" t="s">
        <v>1234</v>
      </c>
      <c r="U247" s="6" t="s">
        <v>1253</v>
      </c>
      <c r="V247" s="1" t="s">
        <v>464</v>
      </c>
      <c r="W247" s="1"/>
      <c r="BF247" s="5"/>
      <c r="BG247" s="5"/>
    </row>
    <row r="248" spans="1:59" s="104" customFormat="1" ht="16.5" customHeight="1">
      <c r="A248" s="286">
        <v>228</v>
      </c>
      <c r="B248" s="290">
        <v>41416</v>
      </c>
      <c r="C248" s="288" t="s">
        <v>1076</v>
      </c>
      <c r="D248" s="1" t="s">
        <v>434</v>
      </c>
      <c r="E248" s="1" t="s">
        <v>1079</v>
      </c>
      <c r="F248" s="1" t="s">
        <v>455</v>
      </c>
      <c r="G248" s="1" t="s">
        <v>1100</v>
      </c>
      <c r="H248" s="1" t="s">
        <v>1106</v>
      </c>
      <c r="I248" s="1" t="s">
        <v>1105</v>
      </c>
      <c r="J248" s="1" t="s">
        <v>1219</v>
      </c>
      <c r="K248" s="1">
        <v>197537</v>
      </c>
      <c r="L248" s="1" t="s">
        <v>483</v>
      </c>
      <c r="M248" s="1" t="s">
        <v>572</v>
      </c>
      <c r="N248" s="1" t="s">
        <v>1054</v>
      </c>
      <c r="O248" s="1" t="s">
        <v>681</v>
      </c>
      <c r="P248" s="1" t="s">
        <v>682</v>
      </c>
      <c r="Q248" s="1">
        <v>773</v>
      </c>
      <c r="R248" s="1">
        <v>3773</v>
      </c>
      <c r="S248" s="1">
        <f>Table_CampList[[#This Row],[Total]]/Table_CampList[[#This Row],[HH]]</f>
        <v>4.88098318240621</v>
      </c>
      <c r="T248" s="1" t="s">
        <v>1234</v>
      </c>
      <c r="U248" s="6" t="s">
        <v>1253</v>
      </c>
      <c r="V248" s="1" t="s">
        <v>464</v>
      </c>
      <c r="W248" s="1"/>
      <c r="BF248" s="5"/>
      <c r="BG248" s="5"/>
    </row>
    <row r="249" spans="1:59" s="104" customFormat="1" ht="16.5" customHeight="1">
      <c r="A249" s="287">
        <v>302</v>
      </c>
      <c r="B249" s="291">
        <v>41416</v>
      </c>
      <c r="C249" s="289" t="s">
        <v>1076</v>
      </c>
      <c r="D249" s="1" t="s">
        <v>434</v>
      </c>
      <c r="E249" s="214" t="s">
        <v>1079</v>
      </c>
      <c r="F249" s="214" t="s">
        <v>455</v>
      </c>
      <c r="G249" s="214" t="s">
        <v>1100</v>
      </c>
      <c r="H249" s="214" t="s">
        <v>486</v>
      </c>
      <c r="I249" s="214" t="s">
        <v>1104</v>
      </c>
      <c r="J249" s="214" t="s">
        <v>1218</v>
      </c>
      <c r="K249" s="214">
        <v>197548</v>
      </c>
      <c r="L249" s="214" t="s">
        <v>1244</v>
      </c>
      <c r="M249" s="214" t="s">
        <v>943</v>
      </c>
      <c r="N249" s="214" t="s">
        <v>1054</v>
      </c>
      <c r="O249" s="1" t="s">
        <v>687</v>
      </c>
      <c r="P249" s="1" t="s">
        <v>688</v>
      </c>
      <c r="Q249" s="214">
        <v>1145</v>
      </c>
      <c r="R249" s="214">
        <v>6873</v>
      </c>
      <c r="S249" s="1">
        <f>Table_CampList[[#This Row],[Total]]/Table_CampList[[#This Row],[HH]]</f>
        <v>6.002620087336244</v>
      </c>
      <c r="T249" s="214" t="s">
        <v>1234</v>
      </c>
      <c r="U249" s="6" t="s">
        <v>1253</v>
      </c>
      <c r="V249" s="214" t="s">
        <v>463</v>
      </c>
      <c r="W249" s="214"/>
      <c r="BF249" s="5"/>
      <c r="BG249" s="5"/>
    </row>
    <row r="250" spans="1:59" s="104" customFormat="1" ht="16.5" customHeight="1">
      <c r="A250" s="286">
        <v>231</v>
      </c>
      <c r="B250" s="290">
        <v>41416</v>
      </c>
      <c r="C250" s="288" t="s">
        <v>1076</v>
      </c>
      <c r="D250" s="1" t="s">
        <v>434</v>
      </c>
      <c r="E250" s="1" t="s">
        <v>1079</v>
      </c>
      <c r="F250" s="1" t="s">
        <v>455</v>
      </c>
      <c r="G250" s="1" t="s">
        <v>1100</v>
      </c>
      <c r="H250" s="1" t="s">
        <v>486</v>
      </c>
      <c r="I250" s="1" t="s">
        <v>1104</v>
      </c>
      <c r="J250" s="1" t="s">
        <v>1218</v>
      </c>
      <c r="K250" s="1">
        <v>197548</v>
      </c>
      <c r="L250" s="1" t="s">
        <v>486</v>
      </c>
      <c r="M250" s="1" t="s">
        <v>575</v>
      </c>
      <c r="N250" s="1" t="s">
        <v>1054</v>
      </c>
      <c r="O250" s="1" t="s">
        <v>687</v>
      </c>
      <c r="P250" s="1" t="s">
        <v>688</v>
      </c>
      <c r="Q250" s="1">
        <v>845</v>
      </c>
      <c r="R250" s="1">
        <v>3803</v>
      </c>
      <c r="S250" s="1">
        <f>Table_CampList[[#This Row],[Total]]/Table_CampList[[#This Row],[HH]]</f>
        <v>4.500591715976332</v>
      </c>
      <c r="T250" s="1" t="s">
        <v>1234</v>
      </c>
      <c r="U250" s="6" t="s">
        <v>1253</v>
      </c>
      <c r="V250" s="1" t="s">
        <v>464</v>
      </c>
      <c r="W250" s="1"/>
      <c r="BF250" s="5"/>
      <c r="BG250" s="5"/>
    </row>
    <row r="251" spans="1:59" s="104" customFormat="1" ht="16.5" customHeight="1">
      <c r="A251" s="286">
        <v>227</v>
      </c>
      <c r="B251" s="290">
        <v>41416</v>
      </c>
      <c r="C251" s="288" t="s">
        <v>1076</v>
      </c>
      <c r="D251" s="1" t="s">
        <v>434</v>
      </c>
      <c r="E251" s="1" t="s">
        <v>1079</v>
      </c>
      <c r="F251" s="1" t="s">
        <v>455</v>
      </c>
      <c r="G251" s="1" t="s">
        <v>1100</v>
      </c>
      <c r="H251" s="1" t="s">
        <v>1220</v>
      </c>
      <c r="I251" s="105" t="str">
        <f>LEFT(Table_CampList[[#This Row],[Village_Pcode]],12)</f>
        <v>MMR012007701</v>
      </c>
      <c r="J251" s="1"/>
      <c r="K251" s="1" t="s">
        <v>1221</v>
      </c>
      <c r="L251" s="1" t="s">
        <v>482</v>
      </c>
      <c r="M251" s="1" t="s">
        <v>571</v>
      </c>
      <c r="N251" s="1" t="s">
        <v>1054</v>
      </c>
      <c r="O251" s="1" t="s">
        <v>679</v>
      </c>
      <c r="P251" s="1" t="s">
        <v>680</v>
      </c>
      <c r="Q251" s="1">
        <v>24</v>
      </c>
      <c r="R251" s="1">
        <v>97</v>
      </c>
      <c r="S251" s="1">
        <f>Table_CampList[[#This Row],[Total]]/Table_CampList[[#This Row],[HH]]</f>
        <v>4.041666666666667</v>
      </c>
      <c r="T251" s="1" t="s">
        <v>1234</v>
      </c>
      <c r="U251" s="6" t="s">
        <v>1253</v>
      </c>
      <c r="V251" s="1" t="s">
        <v>464</v>
      </c>
      <c r="W251" s="1"/>
      <c r="BF251" s="5"/>
      <c r="BG251" s="5"/>
    </row>
    <row r="252" spans="1:59" s="104" customFormat="1" ht="16.5" customHeight="1">
      <c r="A252" s="286">
        <v>249</v>
      </c>
      <c r="B252" s="290">
        <v>41416</v>
      </c>
      <c r="C252" s="288" t="s">
        <v>1076</v>
      </c>
      <c r="D252" s="1" t="s">
        <v>434</v>
      </c>
      <c r="E252" s="1" t="s">
        <v>1079</v>
      </c>
      <c r="F252" s="1" t="s">
        <v>459</v>
      </c>
      <c r="G252" s="1" t="s">
        <v>1133</v>
      </c>
      <c r="H252" s="1" t="s">
        <v>1136</v>
      </c>
      <c r="I252" s="1" t="s">
        <v>1135</v>
      </c>
      <c r="J252" s="1"/>
      <c r="K252" s="1"/>
      <c r="L252" s="1" t="s">
        <v>504</v>
      </c>
      <c r="M252" s="1" t="s">
        <v>593</v>
      </c>
      <c r="N252" s="1" t="s">
        <v>1054</v>
      </c>
      <c r="O252" s="1" t="s">
        <v>721</v>
      </c>
      <c r="P252" s="1" t="s">
        <v>722</v>
      </c>
      <c r="Q252" s="1">
        <v>30</v>
      </c>
      <c r="R252" s="1">
        <v>180</v>
      </c>
      <c r="S252" s="1">
        <f>Table_CampList[[#This Row],[Total]]/Table_CampList[[#This Row],[HH]]</f>
        <v>6</v>
      </c>
      <c r="T252" s="1" t="s">
        <v>1234</v>
      </c>
      <c r="U252" s="6" t="s">
        <v>1253</v>
      </c>
      <c r="V252" s="1" t="s">
        <v>464</v>
      </c>
      <c r="W252" s="1" t="s">
        <v>1242</v>
      </c>
      <c r="BF252" s="5"/>
      <c r="BG252" s="5"/>
    </row>
    <row r="253" spans="1:59" s="104" customFormat="1" ht="16.5" customHeight="1">
      <c r="A253" s="287">
        <v>250</v>
      </c>
      <c r="B253" s="291">
        <v>41416</v>
      </c>
      <c r="C253" s="289" t="s">
        <v>1076</v>
      </c>
      <c r="D253" s="1" t="s">
        <v>434</v>
      </c>
      <c r="E253" s="214" t="s">
        <v>1079</v>
      </c>
      <c r="F253" s="214" t="s">
        <v>459</v>
      </c>
      <c r="G253" s="214" t="s">
        <v>1133</v>
      </c>
      <c r="H253" s="214" t="s">
        <v>1136</v>
      </c>
      <c r="I253" s="214" t="s">
        <v>1135</v>
      </c>
      <c r="J253" s="214"/>
      <c r="K253" s="214"/>
      <c r="L253" s="214" t="s">
        <v>505</v>
      </c>
      <c r="M253" s="214" t="s">
        <v>594</v>
      </c>
      <c r="N253" s="214" t="s">
        <v>1054</v>
      </c>
      <c r="O253" s="214" t="s">
        <v>1245</v>
      </c>
      <c r="P253" s="214" t="s">
        <v>1246</v>
      </c>
      <c r="Q253" s="214">
        <v>13</v>
      </c>
      <c r="R253" s="214">
        <v>80</v>
      </c>
      <c r="S253" s="1">
        <f>Table_CampList[[#This Row],[Total]]/Table_CampList[[#This Row],[HH]]</f>
        <v>6.153846153846154</v>
      </c>
      <c r="T253" s="214" t="s">
        <v>1234</v>
      </c>
      <c r="U253" s="6" t="s">
        <v>1253</v>
      </c>
      <c r="V253" s="214" t="s">
        <v>465</v>
      </c>
      <c r="W253" s="214" t="s">
        <v>1242</v>
      </c>
      <c r="BF253" s="5"/>
      <c r="BG253" s="5"/>
    </row>
    <row r="254" spans="1:59" s="104" customFormat="1" ht="16.5" customHeight="1">
      <c r="A254" s="286">
        <v>246</v>
      </c>
      <c r="B254" s="290">
        <v>41416</v>
      </c>
      <c r="C254" s="288" t="s">
        <v>1076</v>
      </c>
      <c r="D254" s="1" t="s">
        <v>434</v>
      </c>
      <c r="E254" s="1" t="s">
        <v>1079</v>
      </c>
      <c r="F254" s="1" t="s">
        <v>457</v>
      </c>
      <c r="G254" s="1" t="s">
        <v>1126</v>
      </c>
      <c r="H254" s="1" t="s">
        <v>1130</v>
      </c>
      <c r="I254" s="1" t="s">
        <v>1129</v>
      </c>
      <c r="J254" s="1" t="s">
        <v>1130</v>
      </c>
      <c r="K254" s="1">
        <v>197590</v>
      </c>
      <c r="L254" s="1" t="s">
        <v>501</v>
      </c>
      <c r="M254" s="1" t="s">
        <v>590</v>
      </c>
      <c r="N254" s="1" t="s">
        <v>1054</v>
      </c>
      <c r="O254" s="1" t="s">
        <v>916</v>
      </c>
      <c r="P254" s="1" t="s">
        <v>917</v>
      </c>
      <c r="Q254" s="1">
        <v>252</v>
      </c>
      <c r="R254" s="1">
        <v>1208</v>
      </c>
      <c r="S254" s="1">
        <f>Table_CampList[[#This Row],[Total]]/Table_CampList[[#This Row],[HH]]</f>
        <v>4.7936507936507935</v>
      </c>
      <c r="T254" s="1" t="s">
        <v>1234</v>
      </c>
      <c r="U254" s="6" t="s">
        <v>1253</v>
      </c>
      <c r="V254" s="1" t="s">
        <v>649</v>
      </c>
      <c r="W254" s="1"/>
      <c r="BF254" s="5"/>
      <c r="BG254" s="5"/>
    </row>
    <row r="255" spans="1:59" s="104" customFormat="1" ht="16.5" customHeight="1">
      <c r="A255" s="286">
        <v>245</v>
      </c>
      <c r="B255" s="290">
        <v>41416</v>
      </c>
      <c r="C255" s="288" t="s">
        <v>1076</v>
      </c>
      <c r="D255" s="1" t="s">
        <v>434</v>
      </c>
      <c r="E255" s="1" t="s">
        <v>1079</v>
      </c>
      <c r="F255" s="1" t="s">
        <v>457</v>
      </c>
      <c r="G255" s="1" t="s">
        <v>1126</v>
      </c>
      <c r="H255" s="1" t="s">
        <v>1128</v>
      </c>
      <c r="I255" s="1" t="s">
        <v>1127</v>
      </c>
      <c r="J255" s="1" t="s">
        <v>1222</v>
      </c>
      <c r="K255" s="212">
        <v>197651</v>
      </c>
      <c r="L255" s="1" t="s">
        <v>500</v>
      </c>
      <c r="M255" s="1" t="s">
        <v>589</v>
      </c>
      <c r="N255" s="1" t="s">
        <v>1054</v>
      </c>
      <c r="O255" s="1" t="s">
        <v>715</v>
      </c>
      <c r="P255" s="1" t="s">
        <v>716</v>
      </c>
      <c r="Q255" s="1">
        <v>408</v>
      </c>
      <c r="R255" s="1">
        <v>2093</v>
      </c>
      <c r="S255" s="1">
        <f>Table_CampList[[#This Row],[Total]]/Table_CampList[[#This Row],[HH]]</f>
        <v>5.129901960784314</v>
      </c>
      <c r="T255" s="1" t="s">
        <v>1234</v>
      </c>
      <c r="U255" s="6" t="s">
        <v>1253</v>
      </c>
      <c r="V255" s="1" t="s">
        <v>646</v>
      </c>
      <c r="W255" s="1"/>
      <c r="BF255" s="5"/>
      <c r="BG255" s="5"/>
    </row>
    <row r="256" spans="1:59" s="104" customFormat="1" ht="16.5" customHeight="1">
      <c r="A256" s="286">
        <v>244</v>
      </c>
      <c r="B256" s="290">
        <v>41416</v>
      </c>
      <c r="C256" s="288" t="s">
        <v>1076</v>
      </c>
      <c r="D256" s="1" t="s">
        <v>434</v>
      </c>
      <c r="E256" s="1" t="s">
        <v>1079</v>
      </c>
      <c r="F256" s="1" t="s">
        <v>457</v>
      </c>
      <c r="G256" s="1" t="s">
        <v>1126</v>
      </c>
      <c r="H256" s="1" t="s">
        <v>499</v>
      </c>
      <c r="I256" s="1" t="s">
        <v>1131</v>
      </c>
      <c r="J256" s="1" t="s">
        <v>499</v>
      </c>
      <c r="K256" s="1">
        <v>197763</v>
      </c>
      <c r="L256" s="1" t="s">
        <v>499</v>
      </c>
      <c r="M256" s="1" t="s">
        <v>588</v>
      </c>
      <c r="N256" s="1" t="s">
        <v>1054</v>
      </c>
      <c r="O256" s="1" t="s">
        <v>713</v>
      </c>
      <c r="P256" s="1" t="s">
        <v>714</v>
      </c>
      <c r="Q256" s="1">
        <v>57</v>
      </c>
      <c r="R256" s="1">
        <v>291</v>
      </c>
      <c r="S256" s="1">
        <f>Table_CampList[[#This Row],[Total]]/Table_CampList[[#This Row],[HH]]</f>
        <v>5.105263157894737</v>
      </c>
      <c r="T256" s="1" t="s">
        <v>1234</v>
      </c>
      <c r="U256" s="6" t="s">
        <v>1253</v>
      </c>
      <c r="V256" s="1" t="s">
        <v>646</v>
      </c>
      <c r="W256" s="1"/>
      <c r="BF256" s="5"/>
      <c r="BG256" s="5"/>
    </row>
    <row r="257" spans="1:59" s="104" customFormat="1" ht="16.5" customHeight="1">
      <c r="A257" s="286">
        <v>243</v>
      </c>
      <c r="B257" s="290">
        <v>41416</v>
      </c>
      <c r="C257" s="288" t="s">
        <v>1076</v>
      </c>
      <c r="D257" s="1" t="s">
        <v>434</v>
      </c>
      <c r="E257" s="1" t="s">
        <v>1079</v>
      </c>
      <c r="F257" s="1" t="s">
        <v>457</v>
      </c>
      <c r="G257" s="1" t="s">
        <v>1126</v>
      </c>
      <c r="H257" s="1" t="s">
        <v>498</v>
      </c>
      <c r="I257" s="1" t="s">
        <v>1132</v>
      </c>
      <c r="J257" s="1" t="s">
        <v>1223</v>
      </c>
      <c r="K257" s="1">
        <v>197780</v>
      </c>
      <c r="L257" s="1" t="s">
        <v>498</v>
      </c>
      <c r="M257" s="1" t="s">
        <v>587</v>
      </c>
      <c r="N257" s="1" t="s">
        <v>1054</v>
      </c>
      <c r="O257" s="1" t="s">
        <v>711</v>
      </c>
      <c r="P257" s="1" t="s">
        <v>712</v>
      </c>
      <c r="Q257" s="1">
        <v>52</v>
      </c>
      <c r="R257" s="1">
        <v>416</v>
      </c>
      <c r="S257" s="1">
        <f>Table_CampList[[#This Row],[Total]]/Table_CampList[[#This Row],[HH]]</f>
        <v>8</v>
      </c>
      <c r="T257" s="1" t="s">
        <v>1234</v>
      </c>
      <c r="U257" s="6" t="s">
        <v>1253</v>
      </c>
      <c r="V257" s="1" t="s">
        <v>646</v>
      </c>
      <c r="W257" s="1"/>
      <c r="BF257" s="5"/>
      <c r="BG257" s="5"/>
    </row>
    <row r="258" spans="1:59" s="104" customFormat="1" ht="16.5" customHeight="1">
      <c r="A258" s="286">
        <v>270</v>
      </c>
      <c r="B258" s="290">
        <v>41416</v>
      </c>
      <c r="C258" s="288" t="s">
        <v>1076</v>
      </c>
      <c r="D258" s="1" t="s">
        <v>434</v>
      </c>
      <c r="E258" s="1" t="s">
        <v>1079</v>
      </c>
      <c r="F258" s="1" t="s">
        <v>460</v>
      </c>
      <c r="G258" s="1" t="s">
        <v>1141</v>
      </c>
      <c r="H258" s="1" t="s">
        <v>525</v>
      </c>
      <c r="I258" s="212" t="s">
        <v>1256</v>
      </c>
      <c r="J258" s="1" t="s">
        <v>525</v>
      </c>
      <c r="K258" s="212">
        <v>196129</v>
      </c>
      <c r="L258" s="1" t="s">
        <v>525</v>
      </c>
      <c r="M258" s="1" t="s">
        <v>614</v>
      </c>
      <c r="N258" s="1" t="s">
        <v>1054</v>
      </c>
      <c r="O258" s="1" t="s">
        <v>761</v>
      </c>
      <c r="P258" s="1" t="s">
        <v>762</v>
      </c>
      <c r="Q258" s="1">
        <v>28</v>
      </c>
      <c r="R258" s="1">
        <v>137</v>
      </c>
      <c r="S258" s="1">
        <f>Table_CampList[[#This Row],[Total]]/Table_CampList[[#This Row],[HH]]</f>
        <v>4.892857142857143</v>
      </c>
      <c r="T258" s="1" t="s">
        <v>1234</v>
      </c>
      <c r="U258" s="6" t="s">
        <v>1253</v>
      </c>
      <c r="V258" s="1" t="s">
        <v>465</v>
      </c>
      <c r="W258" s="1"/>
      <c r="BF258" s="5"/>
      <c r="BG258" s="5"/>
    </row>
    <row r="259" spans="1:59" s="104" customFormat="1" ht="16.5" customHeight="1">
      <c r="A259" s="286">
        <v>256</v>
      </c>
      <c r="B259" s="290">
        <v>41416</v>
      </c>
      <c r="C259" s="288" t="s">
        <v>1076</v>
      </c>
      <c r="D259" s="1" t="s">
        <v>434</v>
      </c>
      <c r="E259" s="1" t="s">
        <v>1079</v>
      </c>
      <c r="F259" s="1" t="s">
        <v>460</v>
      </c>
      <c r="G259" s="1" t="s">
        <v>1141</v>
      </c>
      <c r="H259" s="1" t="s">
        <v>1149</v>
      </c>
      <c r="I259" s="1" t="s">
        <v>1148</v>
      </c>
      <c r="J259" s="1" t="s">
        <v>1229</v>
      </c>
      <c r="K259" s="1">
        <v>196157</v>
      </c>
      <c r="L259" s="1" t="s">
        <v>511</v>
      </c>
      <c r="M259" s="1" t="s">
        <v>600</v>
      </c>
      <c r="N259" s="1" t="s">
        <v>1054</v>
      </c>
      <c r="O259" s="1" t="s">
        <v>733</v>
      </c>
      <c r="P259" s="1" t="s">
        <v>734</v>
      </c>
      <c r="Q259" s="1">
        <v>400</v>
      </c>
      <c r="R259" s="1">
        <v>2429</v>
      </c>
      <c r="S259" s="1">
        <f>Table_CampList[[#This Row],[Total]]/Table_CampList[[#This Row],[HH]]</f>
        <v>6.0725</v>
      </c>
      <c r="T259" s="1" t="s">
        <v>1234</v>
      </c>
      <c r="U259" s="6" t="s">
        <v>1253</v>
      </c>
      <c r="V259" s="1" t="s">
        <v>464</v>
      </c>
      <c r="W259" s="1"/>
      <c r="BF259" s="5"/>
      <c r="BG259" s="5"/>
    </row>
    <row r="260" spans="1:59" s="9" customFormat="1" ht="16.5" customHeight="1">
      <c r="A260" s="286">
        <v>257</v>
      </c>
      <c r="B260" s="290">
        <v>41416</v>
      </c>
      <c r="C260" s="288" t="s">
        <v>1076</v>
      </c>
      <c r="D260" s="1" t="s">
        <v>434</v>
      </c>
      <c r="E260" s="1" t="s">
        <v>1079</v>
      </c>
      <c r="F260" s="1" t="s">
        <v>460</v>
      </c>
      <c r="G260" s="1" t="s">
        <v>1141</v>
      </c>
      <c r="H260" s="1" t="s">
        <v>1143</v>
      </c>
      <c r="I260" s="1" t="s">
        <v>1142</v>
      </c>
      <c r="J260" s="1" t="s">
        <v>512</v>
      </c>
      <c r="K260" s="1">
        <v>196154</v>
      </c>
      <c r="L260" s="1" t="s">
        <v>512</v>
      </c>
      <c r="M260" s="1" t="s">
        <v>601</v>
      </c>
      <c r="N260" s="1" t="s">
        <v>1054</v>
      </c>
      <c r="O260" s="1" t="s">
        <v>735</v>
      </c>
      <c r="P260" s="1" t="s">
        <v>736</v>
      </c>
      <c r="Q260" s="1">
        <v>2508</v>
      </c>
      <c r="R260" s="1">
        <v>13550</v>
      </c>
      <c r="S260" s="1">
        <f>Table_CampList[[#This Row],[Total]]/Table_CampList[[#This Row],[HH]]</f>
        <v>5.402711323763955</v>
      </c>
      <c r="T260" s="1" t="s">
        <v>1234</v>
      </c>
      <c r="U260" s="6" t="s">
        <v>1253</v>
      </c>
      <c r="V260" s="1" t="s">
        <v>464</v>
      </c>
      <c r="W260" s="1"/>
      <c r="BF260" s="10"/>
      <c r="BG260" s="10"/>
    </row>
    <row r="261" spans="1:59" s="104" customFormat="1" ht="16.5" customHeight="1">
      <c r="A261" s="286">
        <v>262</v>
      </c>
      <c r="B261" s="290">
        <v>41416</v>
      </c>
      <c r="C261" s="288" t="s">
        <v>1076</v>
      </c>
      <c r="D261" s="1" t="s">
        <v>434</v>
      </c>
      <c r="E261" s="1" t="s">
        <v>1079</v>
      </c>
      <c r="F261" s="1" t="s">
        <v>460</v>
      </c>
      <c r="G261" s="1" t="s">
        <v>1141</v>
      </c>
      <c r="H261" s="1" t="s">
        <v>1143</v>
      </c>
      <c r="I261" s="1" t="s">
        <v>1142</v>
      </c>
      <c r="J261" s="1" t="s">
        <v>512</v>
      </c>
      <c r="K261" s="1">
        <v>196154</v>
      </c>
      <c r="L261" s="1" t="s">
        <v>517</v>
      </c>
      <c r="M261" s="1" t="s">
        <v>606</v>
      </c>
      <c r="N261" s="1" t="s">
        <v>1054</v>
      </c>
      <c r="O261" s="1" t="s">
        <v>745</v>
      </c>
      <c r="P261" s="1" t="s">
        <v>746</v>
      </c>
      <c r="Q261" s="1">
        <v>326</v>
      </c>
      <c r="R261" s="1">
        <v>2411</v>
      </c>
      <c r="S261" s="1">
        <f>Table_CampList[[#This Row],[Total]]/Table_CampList[[#This Row],[HH]]</f>
        <v>7.395705521472393</v>
      </c>
      <c r="T261" s="1" t="s">
        <v>1234</v>
      </c>
      <c r="U261" s="6" t="s">
        <v>1253</v>
      </c>
      <c r="V261" s="1" t="s">
        <v>648</v>
      </c>
      <c r="W261" s="1"/>
      <c r="BF261" s="5"/>
      <c r="BG261" s="5"/>
    </row>
    <row r="262" spans="1:59" s="104" customFormat="1" ht="16.5" customHeight="1">
      <c r="A262" s="286">
        <v>252</v>
      </c>
      <c r="B262" s="290">
        <v>41416</v>
      </c>
      <c r="C262" s="288" t="s">
        <v>1076</v>
      </c>
      <c r="D262" s="1" t="s">
        <v>434</v>
      </c>
      <c r="E262" s="1" t="s">
        <v>1079</v>
      </c>
      <c r="F262" s="1" t="s">
        <v>460</v>
      </c>
      <c r="G262" s="1" t="s">
        <v>1141</v>
      </c>
      <c r="H262" s="1" t="s">
        <v>1147</v>
      </c>
      <c r="I262" s="1" t="s">
        <v>1146</v>
      </c>
      <c r="J262" s="1" t="s">
        <v>1225</v>
      </c>
      <c r="K262" s="1">
        <v>196192</v>
      </c>
      <c r="L262" s="1" t="s">
        <v>507</v>
      </c>
      <c r="M262" s="1" t="s">
        <v>596</v>
      </c>
      <c r="N262" s="1" t="s">
        <v>1054</v>
      </c>
      <c r="O262" s="1" t="s">
        <v>725</v>
      </c>
      <c r="P262" s="1" t="s">
        <v>726</v>
      </c>
      <c r="Q262" s="1">
        <v>2350</v>
      </c>
      <c r="R262" s="1">
        <v>14791</v>
      </c>
      <c r="S262" s="1">
        <f>Table_CampList[[#This Row],[Total]]/Table_CampList[[#This Row],[HH]]</f>
        <v>6.294042553191489</v>
      </c>
      <c r="T262" s="1" t="s">
        <v>1234</v>
      </c>
      <c r="U262" s="6" t="s">
        <v>1253</v>
      </c>
      <c r="V262" s="1" t="s">
        <v>464</v>
      </c>
      <c r="W262" s="1"/>
      <c r="BF262" s="5"/>
      <c r="BG262" s="5"/>
    </row>
    <row r="263" spans="1:59" s="104" customFormat="1" ht="16.5" customHeight="1">
      <c r="A263" s="286">
        <v>255</v>
      </c>
      <c r="B263" s="290">
        <v>41416</v>
      </c>
      <c r="C263" s="288" t="s">
        <v>1076</v>
      </c>
      <c r="D263" s="1" t="s">
        <v>434</v>
      </c>
      <c r="E263" s="1" t="s">
        <v>1079</v>
      </c>
      <c r="F263" s="1" t="s">
        <v>460</v>
      </c>
      <c r="G263" s="1" t="s">
        <v>1141</v>
      </c>
      <c r="H263" s="1" t="s">
        <v>1147</v>
      </c>
      <c r="I263" s="1" t="s">
        <v>1146</v>
      </c>
      <c r="J263" s="1" t="s">
        <v>1225</v>
      </c>
      <c r="K263" s="1">
        <v>196192</v>
      </c>
      <c r="L263" s="1" t="s">
        <v>510</v>
      </c>
      <c r="M263" s="1" t="s">
        <v>599</v>
      </c>
      <c r="N263" s="1" t="s">
        <v>1054</v>
      </c>
      <c r="O263" s="1" t="s">
        <v>731</v>
      </c>
      <c r="P263" s="1" t="s">
        <v>732</v>
      </c>
      <c r="Q263" s="1">
        <v>1073</v>
      </c>
      <c r="R263" s="1">
        <v>6225</v>
      </c>
      <c r="S263" s="1">
        <f>Table_CampList[[#This Row],[Total]]/Table_CampList[[#This Row],[HH]]</f>
        <v>5.801491146318733</v>
      </c>
      <c r="T263" s="1" t="s">
        <v>1234</v>
      </c>
      <c r="U263" s="6" t="s">
        <v>1253</v>
      </c>
      <c r="V263" s="1" t="s">
        <v>464</v>
      </c>
      <c r="W263" s="1"/>
      <c r="BF263" s="5"/>
      <c r="BG263" s="5"/>
    </row>
    <row r="264" spans="1:59" s="104" customFormat="1" ht="16.5" customHeight="1">
      <c r="A264" s="286">
        <v>254</v>
      </c>
      <c r="B264" s="290">
        <v>41416</v>
      </c>
      <c r="C264" s="288" t="s">
        <v>1076</v>
      </c>
      <c r="D264" s="1" t="s">
        <v>434</v>
      </c>
      <c r="E264" s="1" t="s">
        <v>1079</v>
      </c>
      <c r="F264" s="1" t="s">
        <v>460</v>
      </c>
      <c r="G264" s="1" t="s">
        <v>1141</v>
      </c>
      <c r="H264" s="1" t="s">
        <v>1147</v>
      </c>
      <c r="I264" s="1" t="s">
        <v>1146</v>
      </c>
      <c r="J264" s="1" t="s">
        <v>1147</v>
      </c>
      <c r="K264" s="1">
        <v>196191</v>
      </c>
      <c r="L264" s="1" t="s">
        <v>509</v>
      </c>
      <c r="M264" s="1" t="s">
        <v>598</v>
      </c>
      <c r="N264" s="1" t="s">
        <v>1054</v>
      </c>
      <c r="O264" s="1" t="s">
        <v>729</v>
      </c>
      <c r="P264" s="1" t="s">
        <v>730</v>
      </c>
      <c r="Q264" s="1">
        <v>361</v>
      </c>
      <c r="R264" s="1">
        <v>2108</v>
      </c>
      <c r="S264" s="1">
        <f>Table_CampList[[#This Row],[Total]]/Table_CampList[[#This Row],[HH]]</f>
        <v>5.839335180055402</v>
      </c>
      <c r="T264" s="1" t="s">
        <v>1234</v>
      </c>
      <c r="U264" s="6" t="s">
        <v>1253</v>
      </c>
      <c r="V264" s="1" t="s">
        <v>464</v>
      </c>
      <c r="W264" s="1"/>
      <c r="BF264" s="5"/>
      <c r="BG264" s="5"/>
    </row>
    <row r="265" spans="1:59" s="104" customFormat="1" ht="16.5" customHeight="1">
      <c r="A265" s="287">
        <v>303</v>
      </c>
      <c r="B265" s="291">
        <v>41416</v>
      </c>
      <c r="C265" s="289" t="s">
        <v>1076</v>
      </c>
      <c r="D265" s="1" t="s">
        <v>434</v>
      </c>
      <c r="E265" s="214" t="s">
        <v>1079</v>
      </c>
      <c r="F265" s="214" t="s">
        <v>460</v>
      </c>
      <c r="G265" s="214" t="s">
        <v>1141</v>
      </c>
      <c r="H265" s="214" t="s">
        <v>1147</v>
      </c>
      <c r="I265" s="214" t="s">
        <v>1146</v>
      </c>
      <c r="J265" s="214" t="s">
        <v>1225</v>
      </c>
      <c r="K265" s="214">
        <v>196192</v>
      </c>
      <c r="L265" s="214" t="s">
        <v>876</v>
      </c>
      <c r="M265" s="214" t="s">
        <v>944</v>
      </c>
      <c r="N265" s="1" t="s">
        <v>1054</v>
      </c>
      <c r="O265" s="214" t="s">
        <v>945</v>
      </c>
      <c r="P265" s="214" t="s">
        <v>946</v>
      </c>
      <c r="Q265" s="214">
        <v>212</v>
      </c>
      <c r="R265" s="214">
        <v>1177</v>
      </c>
      <c r="S265" s="1">
        <f>Table_CampList[[#This Row],[Total]]/Table_CampList[[#This Row],[HH]]</f>
        <v>5.55188679245283</v>
      </c>
      <c r="T265" s="1" t="s">
        <v>1234</v>
      </c>
      <c r="U265" s="6" t="s">
        <v>1253</v>
      </c>
      <c r="V265" s="214" t="s">
        <v>464</v>
      </c>
      <c r="W265" s="214"/>
      <c r="BF265" s="5"/>
      <c r="BG265" s="5"/>
    </row>
    <row r="266" spans="1:59" s="104" customFormat="1" ht="16.5" customHeight="1">
      <c r="A266" s="286">
        <v>258</v>
      </c>
      <c r="B266" s="290">
        <v>41416</v>
      </c>
      <c r="C266" s="288" t="s">
        <v>1076</v>
      </c>
      <c r="D266" s="1" t="s">
        <v>434</v>
      </c>
      <c r="E266" s="1" t="s">
        <v>1079</v>
      </c>
      <c r="F266" s="1" t="s">
        <v>460</v>
      </c>
      <c r="G266" s="1" t="s">
        <v>1141</v>
      </c>
      <c r="H266" s="1" t="s">
        <v>1145</v>
      </c>
      <c r="I266" s="1" t="s">
        <v>1144</v>
      </c>
      <c r="J266" s="240" t="s">
        <v>1224</v>
      </c>
      <c r="K266" s="1">
        <v>196211</v>
      </c>
      <c r="L266" s="1" t="s">
        <v>513</v>
      </c>
      <c r="M266" s="1" t="s">
        <v>602</v>
      </c>
      <c r="N266" s="1" t="s">
        <v>1054</v>
      </c>
      <c r="O266" s="1" t="s">
        <v>737</v>
      </c>
      <c r="P266" s="1" t="s">
        <v>738</v>
      </c>
      <c r="Q266" s="1">
        <v>2462</v>
      </c>
      <c r="R266" s="1">
        <v>15554</v>
      </c>
      <c r="S266" s="1">
        <f>Table_CampList[[#This Row],[Total]]/Table_CampList[[#This Row],[HH]]</f>
        <v>6.317627944760358</v>
      </c>
      <c r="T266" s="1" t="s">
        <v>1234</v>
      </c>
      <c r="U266" s="6" t="s">
        <v>1253</v>
      </c>
      <c r="V266" s="1" t="s">
        <v>464</v>
      </c>
      <c r="W266" s="1"/>
      <c r="BF266" s="5"/>
      <c r="BG266" s="5"/>
    </row>
    <row r="267" spans="1:59" s="104" customFormat="1" ht="16.5" customHeight="1">
      <c r="A267" s="286">
        <v>253</v>
      </c>
      <c r="B267" s="290">
        <v>41416</v>
      </c>
      <c r="C267" s="288" t="s">
        <v>1076</v>
      </c>
      <c r="D267" s="1" t="s">
        <v>434</v>
      </c>
      <c r="E267" s="1" t="s">
        <v>1079</v>
      </c>
      <c r="F267" s="1" t="s">
        <v>460</v>
      </c>
      <c r="G267" s="1" t="s">
        <v>1141</v>
      </c>
      <c r="H267" s="1" t="s">
        <v>1145</v>
      </c>
      <c r="I267" s="1" t="s">
        <v>1144</v>
      </c>
      <c r="J267" s="1" t="s">
        <v>1226</v>
      </c>
      <c r="K267" s="1">
        <v>196206</v>
      </c>
      <c r="L267" s="1" t="s">
        <v>508</v>
      </c>
      <c r="M267" s="1" t="s">
        <v>597</v>
      </c>
      <c r="N267" s="1" t="s">
        <v>1054</v>
      </c>
      <c r="O267" s="1" t="s">
        <v>727</v>
      </c>
      <c r="P267" s="1" t="s">
        <v>728</v>
      </c>
      <c r="Q267" s="1">
        <v>1716</v>
      </c>
      <c r="R267" s="1">
        <v>10483</v>
      </c>
      <c r="S267" s="1">
        <f>Table_CampList[[#This Row],[Total]]/Table_CampList[[#This Row],[HH]]</f>
        <v>6.108974358974359</v>
      </c>
      <c r="T267" s="1" t="s">
        <v>1234</v>
      </c>
      <c r="U267" s="6" t="s">
        <v>1253</v>
      </c>
      <c r="V267" s="1" t="s">
        <v>464</v>
      </c>
      <c r="W267" s="1"/>
      <c r="BF267" s="5"/>
      <c r="BG267" s="5"/>
    </row>
    <row r="268" spans="1:59" s="104" customFormat="1" ht="16.5" customHeight="1">
      <c r="A268" s="286">
        <v>260</v>
      </c>
      <c r="B268" s="290">
        <v>41416</v>
      </c>
      <c r="C268" s="288" t="s">
        <v>1076</v>
      </c>
      <c r="D268" s="1" t="s">
        <v>434</v>
      </c>
      <c r="E268" s="1" t="s">
        <v>1079</v>
      </c>
      <c r="F268" s="1" t="s">
        <v>460</v>
      </c>
      <c r="G268" s="1" t="s">
        <v>1141</v>
      </c>
      <c r="H268" s="1" t="s">
        <v>1145</v>
      </c>
      <c r="I268" s="1" t="s">
        <v>1144</v>
      </c>
      <c r="J268" s="1" t="s">
        <v>1227</v>
      </c>
      <c r="K268" s="1">
        <v>196186</v>
      </c>
      <c r="L268" s="1" t="s">
        <v>515</v>
      </c>
      <c r="M268" s="1" t="s">
        <v>604</v>
      </c>
      <c r="N268" s="1" t="s">
        <v>1054</v>
      </c>
      <c r="O268" s="1" t="s">
        <v>741</v>
      </c>
      <c r="P268" s="1" t="s">
        <v>742</v>
      </c>
      <c r="Q268" s="1">
        <v>664</v>
      </c>
      <c r="R268" s="1">
        <v>3787</v>
      </c>
      <c r="S268" s="1">
        <f>Table_CampList[[#This Row],[Total]]/Table_CampList[[#This Row],[HH]]</f>
        <v>5.703313253012048</v>
      </c>
      <c r="T268" s="1" t="s">
        <v>1234</v>
      </c>
      <c r="U268" s="6" t="s">
        <v>1253</v>
      </c>
      <c r="V268" s="1" t="s">
        <v>464</v>
      </c>
      <c r="W268" s="1"/>
      <c r="BF268" s="5"/>
      <c r="BG268" s="5"/>
    </row>
    <row r="269" spans="1:59" s="104" customFormat="1" ht="16.5" customHeight="1">
      <c r="A269" s="287">
        <v>304</v>
      </c>
      <c r="B269" s="291">
        <v>41416</v>
      </c>
      <c r="C269" s="289" t="s">
        <v>1076</v>
      </c>
      <c r="D269" s="1" t="s">
        <v>434</v>
      </c>
      <c r="E269" s="214" t="s">
        <v>1079</v>
      </c>
      <c r="F269" s="214" t="s">
        <v>460</v>
      </c>
      <c r="G269" s="214" t="s">
        <v>1141</v>
      </c>
      <c r="H269" s="214" t="s">
        <v>1145</v>
      </c>
      <c r="I269" s="214" t="s">
        <v>1144</v>
      </c>
      <c r="J269" s="214" t="s">
        <v>1227</v>
      </c>
      <c r="K269" s="214">
        <v>196186</v>
      </c>
      <c r="L269" s="214" t="s">
        <v>877</v>
      </c>
      <c r="M269" s="214" t="s">
        <v>947</v>
      </c>
      <c r="N269" s="1" t="s">
        <v>1054</v>
      </c>
      <c r="O269" s="1" t="s">
        <v>741</v>
      </c>
      <c r="P269" s="1" t="s">
        <v>742</v>
      </c>
      <c r="Q269" s="219">
        <v>614</v>
      </c>
      <c r="R269" s="219">
        <v>4843</v>
      </c>
      <c r="S269" s="1">
        <f>Table_CampList[[#This Row],[Total]]/Table_CampList[[#This Row],[HH]]</f>
        <v>7.887622149837133</v>
      </c>
      <c r="T269" s="1" t="s">
        <v>1234</v>
      </c>
      <c r="U269" s="6" t="s">
        <v>1253</v>
      </c>
      <c r="V269" s="214" t="s">
        <v>463</v>
      </c>
      <c r="W269" s="214"/>
      <c r="BF269" s="5"/>
      <c r="BG269" s="5"/>
    </row>
    <row r="270" spans="1:59" s="9" customFormat="1" ht="16.5" customHeight="1">
      <c r="A270" s="286">
        <v>259</v>
      </c>
      <c r="B270" s="290">
        <v>41416</v>
      </c>
      <c r="C270" s="288" t="s">
        <v>1076</v>
      </c>
      <c r="D270" s="1" t="s">
        <v>434</v>
      </c>
      <c r="E270" s="1" t="s">
        <v>1079</v>
      </c>
      <c r="F270" s="1" t="s">
        <v>460</v>
      </c>
      <c r="G270" s="1" t="s">
        <v>1141</v>
      </c>
      <c r="H270" s="1" t="s">
        <v>1145</v>
      </c>
      <c r="I270" s="1" t="s">
        <v>1144</v>
      </c>
      <c r="J270" s="1" t="s">
        <v>1224</v>
      </c>
      <c r="K270" s="1">
        <v>196211</v>
      </c>
      <c r="L270" s="1" t="s">
        <v>514</v>
      </c>
      <c r="M270" s="1" t="s">
        <v>603</v>
      </c>
      <c r="N270" s="1" t="s">
        <v>1054</v>
      </c>
      <c r="O270" s="1" t="s">
        <v>739</v>
      </c>
      <c r="P270" s="1" t="s">
        <v>740</v>
      </c>
      <c r="Q270" s="1">
        <v>452</v>
      </c>
      <c r="R270" s="1">
        <v>1700</v>
      </c>
      <c r="S270" s="1">
        <f>Table_CampList[[#This Row],[Total]]/Table_CampList[[#This Row],[HH]]</f>
        <v>3.7610619469026547</v>
      </c>
      <c r="T270" s="1" t="s">
        <v>1234</v>
      </c>
      <c r="U270" s="6" t="s">
        <v>1253</v>
      </c>
      <c r="V270" s="1" t="s">
        <v>646</v>
      </c>
      <c r="W270" s="1"/>
      <c r="BF270" s="10"/>
      <c r="BG270" s="10"/>
    </row>
    <row r="271" spans="1:59" s="104" customFormat="1" ht="16.5" customHeight="1">
      <c r="A271" s="286">
        <v>263</v>
      </c>
      <c r="B271" s="290">
        <v>41416</v>
      </c>
      <c r="C271" s="288" t="s">
        <v>1076</v>
      </c>
      <c r="D271" s="1" t="s">
        <v>434</v>
      </c>
      <c r="E271" s="1" t="s">
        <v>1079</v>
      </c>
      <c r="F271" s="1" t="s">
        <v>460</v>
      </c>
      <c r="G271" s="1" t="s">
        <v>1141</v>
      </c>
      <c r="H271" s="1" t="s">
        <v>1145</v>
      </c>
      <c r="I271" s="1" t="s">
        <v>1144</v>
      </c>
      <c r="J271" s="1" t="s">
        <v>1228</v>
      </c>
      <c r="K271" s="1">
        <v>196209</v>
      </c>
      <c r="L271" s="1" t="s">
        <v>518</v>
      </c>
      <c r="M271" s="1" t="s">
        <v>607</v>
      </c>
      <c r="N271" s="1" t="s">
        <v>1054</v>
      </c>
      <c r="O271" s="1" t="s">
        <v>747</v>
      </c>
      <c r="P271" s="1" t="s">
        <v>748</v>
      </c>
      <c r="Q271" s="1">
        <v>414</v>
      </c>
      <c r="R271" s="1">
        <v>2722</v>
      </c>
      <c r="S271" s="1">
        <f>Table_CampList[[#This Row],[Total]]/Table_CampList[[#This Row],[HH]]</f>
        <v>6.57487922705314</v>
      </c>
      <c r="T271" s="1" t="s">
        <v>1234</v>
      </c>
      <c r="U271" s="6" t="s">
        <v>1253</v>
      </c>
      <c r="V271" s="1" t="s">
        <v>648</v>
      </c>
      <c r="W271" s="1"/>
      <c r="BF271" s="5"/>
      <c r="BG271" s="5"/>
    </row>
    <row r="272" spans="1:59" s="104" customFormat="1" ht="16.5" customHeight="1">
      <c r="A272" s="287">
        <v>305</v>
      </c>
      <c r="B272" s="291">
        <v>41416</v>
      </c>
      <c r="C272" s="289" t="s">
        <v>1076</v>
      </c>
      <c r="D272" s="1" t="s">
        <v>434</v>
      </c>
      <c r="E272" s="214" t="s">
        <v>1079</v>
      </c>
      <c r="F272" s="214" t="s">
        <v>460</v>
      </c>
      <c r="G272" s="214" t="s">
        <v>1141</v>
      </c>
      <c r="H272" s="214" t="s">
        <v>1145</v>
      </c>
      <c r="I272" s="214" t="s">
        <v>1144</v>
      </c>
      <c r="J272" s="214" t="s">
        <v>1145</v>
      </c>
      <c r="K272" s="214">
        <v>196200</v>
      </c>
      <c r="L272" s="214" t="s">
        <v>878</v>
      </c>
      <c r="M272" s="214" t="s">
        <v>948</v>
      </c>
      <c r="N272" s="214" t="s">
        <v>1054</v>
      </c>
      <c r="O272" s="235" t="s">
        <v>915</v>
      </c>
      <c r="P272" s="235" t="s">
        <v>915</v>
      </c>
      <c r="Q272" s="214">
        <v>225</v>
      </c>
      <c r="R272" s="214">
        <v>1122</v>
      </c>
      <c r="S272" s="1">
        <f>Table_CampList[[#This Row],[Total]]/Table_CampList[[#This Row],[HH]]</f>
        <v>4.986666666666666</v>
      </c>
      <c r="T272" s="214" t="s">
        <v>1234</v>
      </c>
      <c r="U272" s="6" t="s">
        <v>1253</v>
      </c>
      <c r="V272" s="214" t="s">
        <v>464</v>
      </c>
      <c r="W272" s="214"/>
      <c r="BF272" s="5"/>
      <c r="BG272" s="5"/>
    </row>
    <row r="273" spans="1:59" s="104" customFormat="1" ht="16.5" customHeight="1">
      <c r="A273" s="286">
        <v>261</v>
      </c>
      <c r="B273" s="290">
        <v>41416</v>
      </c>
      <c r="C273" s="288" t="s">
        <v>1076</v>
      </c>
      <c r="D273" s="1" t="s">
        <v>434</v>
      </c>
      <c r="E273" s="1" t="s">
        <v>1079</v>
      </c>
      <c r="F273" s="1" t="s">
        <v>460</v>
      </c>
      <c r="G273" s="1" t="s">
        <v>1141</v>
      </c>
      <c r="H273" s="1" t="s">
        <v>1145</v>
      </c>
      <c r="I273" s="1" t="s">
        <v>1144</v>
      </c>
      <c r="J273" s="1" t="s">
        <v>1232</v>
      </c>
      <c r="K273" s="1">
        <v>196207</v>
      </c>
      <c r="L273" s="1" t="s">
        <v>516</v>
      </c>
      <c r="M273" s="1" t="s">
        <v>605</v>
      </c>
      <c r="N273" s="1" t="s">
        <v>1054</v>
      </c>
      <c r="O273" s="1" t="s">
        <v>743</v>
      </c>
      <c r="P273" s="1" t="s">
        <v>744</v>
      </c>
      <c r="Q273" s="1">
        <v>204</v>
      </c>
      <c r="R273" s="1">
        <v>1092</v>
      </c>
      <c r="S273" s="1">
        <f>Table_CampList[[#This Row],[Total]]/Table_CampList[[#This Row],[HH]]</f>
        <v>5.352941176470588</v>
      </c>
      <c r="T273" s="1" t="s">
        <v>1234</v>
      </c>
      <c r="U273" s="6" t="s">
        <v>1253</v>
      </c>
      <c r="V273" s="1" t="s">
        <v>464</v>
      </c>
      <c r="W273" s="1"/>
      <c r="BF273" s="5"/>
      <c r="BG273" s="5"/>
    </row>
    <row r="274" spans="1:59" s="9" customFormat="1" ht="16.5" customHeight="1">
      <c r="A274" s="287">
        <v>264</v>
      </c>
      <c r="B274" s="291">
        <v>41416</v>
      </c>
      <c r="C274" s="289" t="s">
        <v>1077</v>
      </c>
      <c r="D274" s="1" t="s">
        <v>434</v>
      </c>
      <c r="E274" s="214" t="s">
        <v>1079</v>
      </c>
      <c r="F274" s="214" t="s">
        <v>460</v>
      </c>
      <c r="G274" s="214" t="s">
        <v>1141</v>
      </c>
      <c r="H274" s="214" t="s">
        <v>1145</v>
      </c>
      <c r="I274" s="214" t="s">
        <v>1144</v>
      </c>
      <c r="J274" s="214" t="s">
        <v>1233</v>
      </c>
      <c r="K274" s="214">
        <v>196216</v>
      </c>
      <c r="L274" s="214" t="s">
        <v>519</v>
      </c>
      <c r="M274" s="214" t="s">
        <v>608</v>
      </c>
      <c r="N274" s="214" t="s">
        <v>1054</v>
      </c>
      <c r="O274" s="214" t="s">
        <v>749</v>
      </c>
      <c r="P274" s="214" t="s">
        <v>750</v>
      </c>
      <c r="Q274" s="214">
        <v>0</v>
      </c>
      <c r="R274" s="214">
        <v>0</v>
      </c>
      <c r="S274" s="1" t="e">
        <f>Table_CampList[[#This Row],[Total]]/Table_CampList[[#This Row],[HH]]</f>
        <v>#DIV/0!</v>
      </c>
      <c r="T274" s="214" t="s">
        <v>1234</v>
      </c>
      <c r="U274" s="6" t="s">
        <v>1253</v>
      </c>
      <c r="V274" s="214" t="s">
        <v>648</v>
      </c>
      <c r="W274" s="214"/>
      <c r="BF274" s="10"/>
      <c r="BG274" s="10"/>
    </row>
    <row r="275" spans="1:59" s="104" customFormat="1" ht="16.5" customHeight="1">
      <c r="A275" s="287">
        <v>274</v>
      </c>
      <c r="B275" s="291">
        <v>41416</v>
      </c>
      <c r="C275" s="289" t="s">
        <v>1077</v>
      </c>
      <c r="D275" s="1" t="s">
        <v>434</v>
      </c>
      <c r="E275" s="214" t="s">
        <v>1079</v>
      </c>
      <c r="F275" s="214" t="s">
        <v>460</v>
      </c>
      <c r="G275" s="214" t="s">
        <v>1141</v>
      </c>
      <c r="H275" s="214" t="s">
        <v>1163</v>
      </c>
      <c r="I275" s="105" t="str">
        <f>LEFT(Table_CampList[[#This Row],[Village_Pcode]],12)</f>
        <v>MMR012001701</v>
      </c>
      <c r="J275" s="214"/>
      <c r="K275" s="214" t="s">
        <v>1169</v>
      </c>
      <c r="L275" s="214" t="s">
        <v>529</v>
      </c>
      <c r="M275" s="214" t="s">
        <v>618</v>
      </c>
      <c r="N275" s="214" t="s">
        <v>1054</v>
      </c>
      <c r="O275" s="214" t="s">
        <v>769</v>
      </c>
      <c r="P275" s="214" t="s">
        <v>770</v>
      </c>
      <c r="Q275" s="214">
        <v>0</v>
      </c>
      <c r="R275" s="214">
        <v>0</v>
      </c>
      <c r="S275" s="1" t="e">
        <f>Table_CampList[[#This Row],[Total]]/Table_CampList[[#This Row],[HH]]</f>
        <v>#DIV/0!</v>
      </c>
      <c r="T275" s="214" t="s">
        <v>1234</v>
      </c>
      <c r="U275" s="6" t="s">
        <v>1253</v>
      </c>
      <c r="V275" s="214" t="s">
        <v>647</v>
      </c>
      <c r="W275" s="214"/>
      <c r="BF275" s="5"/>
      <c r="BG275" s="5"/>
    </row>
    <row r="276" spans="1:59" s="104" customFormat="1" ht="16.5" customHeight="1">
      <c r="A276" s="287">
        <v>280</v>
      </c>
      <c r="B276" s="291">
        <v>41416</v>
      </c>
      <c r="C276" s="289" t="s">
        <v>1077</v>
      </c>
      <c r="D276" s="1" t="s">
        <v>434</v>
      </c>
      <c r="E276" s="214" t="s">
        <v>1079</v>
      </c>
      <c r="F276" s="214" t="s">
        <v>460</v>
      </c>
      <c r="G276" s="214" t="s">
        <v>1141</v>
      </c>
      <c r="H276" s="214" t="s">
        <v>1163</v>
      </c>
      <c r="I276" s="105" t="str">
        <f>LEFT(Table_CampList[[#This Row],[Village_Pcode]],12)</f>
        <v>MMR012001701</v>
      </c>
      <c r="J276" s="214"/>
      <c r="K276" s="214" t="s">
        <v>1169</v>
      </c>
      <c r="L276" s="214" t="s">
        <v>535</v>
      </c>
      <c r="M276" s="214" t="s">
        <v>624</v>
      </c>
      <c r="N276" s="214" t="s">
        <v>1054</v>
      </c>
      <c r="O276" s="214" t="s">
        <v>781</v>
      </c>
      <c r="P276" s="214" t="s">
        <v>782</v>
      </c>
      <c r="Q276" s="214">
        <v>0</v>
      </c>
      <c r="R276" s="214">
        <v>0</v>
      </c>
      <c r="S276" s="1" t="e">
        <f>Table_CampList[[#This Row],[Total]]/Table_CampList[[#This Row],[HH]]</f>
        <v>#DIV/0!</v>
      </c>
      <c r="T276" s="214" t="s">
        <v>1234</v>
      </c>
      <c r="U276" s="6" t="s">
        <v>1253</v>
      </c>
      <c r="V276" s="214" t="s">
        <v>647</v>
      </c>
      <c r="W276" s="214"/>
      <c r="BF276" s="5"/>
      <c r="BG276" s="5"/>
    </row>
    <row r="277" spans="1:59" s="104" customFormat="1" ht="18" customHeight="1">
      <c r="A277" s="287">
        <v>287</v>
      </c>
      <c r="B277" s="291">
        <v>41416</v>
      </c>
      <c r="C277" s="289" t="s">
        <v>1077</v>
      </c>
      <c r="D277" s="1" t="s">
        <v>434</v>
      </c>
      <c r="E277" s="214" t="s">
        <v>1079</v>
      </c>
      <c r="F277" s="214" t="s">
        <v>460</v>
      </c>
      <c r="G277" s="214" t="s">
        <v>1141</v>
      </c>
      <c r="H277" s="214" t="s">
        <v>1163</v>
      </c>
      <c r="I277" s="105" t="str">
        <f>LEFT(Table_CampList[[#This Row],[Village_Pcode]],12)</f>
        <v>MMR012001701</v>
      </c>
      <c r="J277" s="214"/>
      <c r="K277" s="214" t="s">
        <v>1169</v>
      </c>
      <c r="L277" s="214" t="s">
        <v>542</v>
      </c>
      <c r="M277" s="214" t="s">
        <v>631</v>
      </c>
      <c r="N277" s="214" t="s">
        <v>1054</v>
      </c>
      <c r="O277" s="214" t="s">
        <v>795</v>
      </c>
      <c r="P277" s="214" t="s">
        <v>796</v>
      </c>
      <c r="Q277" s="214">
        <v>0</v>
      </c>
      <c r="R277" s="214">
        <v>0</v>
      </c>
      <c r="S277" s="1" t="e">
        <f>Table_CampList[[#This Row],[Total]]/Table_CampList[[#This Row],[HH]]</f>
        <v>#DIV/0!</v>
      </c>
      <c r="T277" s="214" t="s">
        <v>1234</v>
      </c>
      <c r="U277" s="6" t="s">
        <v>1253</v>
      </c>
      <c r="V277" s="214" t="s">
        <v>647</v>
      </c>
      <c r="W277" s="214"/>
      <c r="BF277" s="5"/>
      <c r="BG277" s="5"/>
    </row>
    <row r="278" spans="1:59" s="9" customFormat="1" ht="11.25" customHeight="1">
      <c r="A278" s="286">
        <v>269</v>
      </c>
      <c r="B278" s="290">
        <v>41416</v>
      </c>
      <c r="C278" s="288" t="s">
        <v>1076</v>
      </c>
      <c r="D278" s="1" t="s">
        <v>434</v>
      </c>
      <c r="E278" s="1" t="s">
        <v>1079</v>
      </c>
      <c r="F278" s="1" t="s">
        <v>460</v>
      </c>
      <c r="G278" s="1" t="s">
        <v>1141</v>
      </c>
      <c r="H278" s="1" t="s">
        <v>1152</v>
      </c>
      <c r="I278" s="105" t="str">
        <f>LEFT(Table_CampList[[#This Row],[Village_Pcode]],12)</f>
        <v>MMR012001701</v>
      </c>
      <c r="J278" s="1"/>
      <c r="K278" s="1" t="s">
        <v>1153</v>
      </c>
      <c r="L278" s="1" t="s">
        <v>524</v>
      </c>
      <c r="M278" s="1" t="s">
        <v>613</v>
      </c>
      <c r="N278" s="1" t="s">
        <v>1054</v>
      </c>
      <c r="O278" s="1" t="s">
        <v>759</v>
      </c>
      <c r="P278" s="1" t="s">
        <v>760</v>
      </c>
      <c r="Q278" s="1">
        <v>200</v>
      </c>
      <c r="R278" s="1">
        <v>978</v>
      </c>
      <c r="S278" s="1">
        <f>Table_CampList[[#This Row],[Total]]/Table_CampList[[#This Row],[HH]]</f>
        <v>4.89</v>
      </c>
      <c r="T278" s="1" t="s">
        <v>1234</v>
      </c>
      <c r="U278" s="6" t="s">
        <v>1253</v>
      </c>
      <c r="V278" s="1" t="s">
        <v>464</v>
      </c>
      <c r="W278" s="1"/>
      <c r="BF278" s="10"/>
      <c r="BG278" s="10"/>
    </row>
    <row r="279" spans="1:59" s="9" customFormat="1" ht="16.5" customHeight="1">
      <c r="A279" s="287">
        <v>273</v>
      </c>
      <c r="B279" s="291">
        <v>41416</v>
      </c>
      <c r="C279" s="289" t="s">
        <v>1077</v>
      </c>
      <c r="D279" s="1" t="s">
        <v>434</v>
      </c>
      <c r="E279" s="214" t="s">
        <v>1079</v>
      </c>
      <c r="F279" s="214" t="s">
        <v>460</v>
      </c>
      <c r="G279" s="214" t="s">
        <v>1141</v>
      </c>
      <c r="H279" s="214" t="s">
        <v>1152</v>
      </c>
      <c r="I279" s="105" t="str">
        <f>LEFT(Table_CampList[[#This Row],[Village_Pcode]],12)</f>
        <v>MMR012001701</v>
      </c>
      <c r="J279" s="214"/>
      <c r="K279" s="214" t="s">
        <v>1153</v>
      </c>
      <c r="L279" s="214" t="s">
        <v>528</v>
      </c>
      <c r="M279" s="214" t="s">
        <v>617</v>
      </c>
      <c r="N279" s="214" t="s">
        <v>1054</v>
      </c>
      <c r="O279" s="214" t="s">
        <v>767</v>
      </c>
      <c r="P279" s="214" t="s">
        <v>768</v>
      </c>
      <c r="Q279" s="214">
        <v>0</v>
      </c>
      <c r="R279" s="214">
        <v>0</v>
      </c>
      <c r="S279" s="1" t="e">
        <f>Table_CampList[[#This Row],[Total]]/Table_CampList[[#This Row],[HH]]</f>
        <v>#DIV/0!</v>
      </c>
      <c r="T279" s="214" t="s">
        <v>1234</v>
      </c>
      <c r="U279" s="6" t="s">
        <v>1253</v>
      </c>
      <c r="V279" s="214" t="s">
        <v>647</v>
      </c>
      <c r="W279" s="214"/>
      <c r="BF279" s="10"/>
      <c r="BG279" s="10"/>
    </row>
    <row r="280" spans="1:59" s="9" customFormat="1" ht="15.75" customHeight="1">
      <c r="A280" s="287">
        <v>277</v>
      </c>
      <c r="B280" s="291">
        <v>41416</v>
      </c>
      <c r="C280" s="289" t="s">
        <v>1077</v>
      </c>
      <c r="D280" s="1" t="s">
        <v>434</v>
      </c>
      <c r="E280" s="214" t="s">
        <v>1079</v>
      </c>
      <c r="F280" s="214" t="s">
        <v>460</v>
      </c>
      <c r="G280" s="214" t="s">
        <v>1141</v>
      </c>
      <c r="H280" s="214" t="s">
        <v>1152</v>
      </c>
      <c r="I280" s="105" t="str">
        <f>LEFT(Table_CampList[[#This Row],[Village_Pcode]],12)</f>
        <v>MMR012001701</v>
      </c>
      <c r="J280" s="214"/>
      <c r="K280" s="214" t="s">
        <v>1153</v>
      </c>
      <c r="L280" s="214" t="s">
        <v>532</v>
      </c>
      <c r="M280" s="214" t="s">
        <v>621</v>
      </c>
      <c r="N280" s="214" t="s">
        <v>1054</v>
      </c>
      <c r="O280" s="214" t="s">
        <v>775</v>
      </c>
      <c r="P280" s="214" t="s">
        <v>776</v>
      </c>
      <c r="Q280" s="214">
        <v>0</v>
      </c>
      <c r="R280" s="214">
        <v>0</v>
      </c>
      <c r="S280" s="1" t="e">
        <f>Table_CampList[[#This Row],[Total]]/Table_CampList[[#This Row],[HH]]</f>
        <v>#DIV/0!</v>
      </c>
      <c r="T280" s="214" t="s">
        <v>1234</v>
      </c>
      <c r="U280" s="6" t="s">
        <v>1253</v>
      </c>
      <c r="V280" s="214" t="s">
        <v>647</v>
      </c>
      <c r="W280" s="214"/>
      <c r="BF280" s="10"/>
      <c r="BG280" s="10"/>
    </row>
    <row r="281" spans="1:59" s="9" customFormat="1" ht="15" customHeight="1">
      <c r="A281" s="287">
        <v>279</v>
      </c>
      <c r="B281" s="291">
        <v>41416</v>
      </c>
      <c r="C281" s="289" t="s">
        <v>1077</v>
      </c>
      <c r="D281" s="1" t="s">
        <v>434</v>
      </c>
      <c r="E281" s="214" t="s">
        <v>1079</v>
      </c>
      <c r="F281" s="214" t="s">
        <v>460</v>
      </c>
      <c r="G281" s="214" t="s">
        <v>1141</v>
      </c>
      <c r="H281" s="214" t="s">
        <v>1152</v>
      </c>
      <c r="I281" s="105" t="str">
        <f>LEFT(Table_CampList[[#This Row],[Village_Pcode]],12)</f>
        <v>MMR012001701</v>
      </c>
      <c r="J281" s="214"/>
      <c r="K281" s="214" t="s">
        <v>1153</v>
      </c>
      <c r="L281" s="214" t="s">
        <v>534</v>
      </c>
      <c r="M281" s="214" t="s">
        <v>623</v>
      </c>
      <c r="N281" s="214" t="s">
        <v>1054</v>
      </c>
      <c r="O281" s="214" t="s">
        <v>779</v>
      </c>
      <c r="P281" s="214" t="s">
        <v>780</v>
      </c>
      <c r="Q281" s="214">
        <v>0</v>
      </c>
      <c r="R281" s="214">
        <v>0</v>
      </c>
      <c r="S281" s="1" t="e">
        <f>Table_CampList[[#This Row],[Total]]/Table_CampList[[#This Row],[HH]]</f>
        <v>#DIV/0!</v>
      </c>
      <c r="T281" s="214" t="s">
        <v>1234</v>
      </c>
      <c r="U281" s="6" t="s">
        <v>1253</v>
      </c>
      <c r="V281" s="214" t="s">
        <v>647</v>
      </c>
      <c r="W281" s="214"/>
      <c r="BF281" s="10"/>
      <c r="BG281" s="10"/>
    </row>
    <row r="282" spans="1:59" s="9" customFormat="1" ht="18" customHeight="1">
      <c r="A282" s="287">
        <v>281</v>
      </c>
      <c r="B282" s="291">
        <v>41416</v>
      </c>
      <c r="C282" s="289" t="s">
        <v>1077</v>
      </c>
      <c r="D282" s="1" t="s">
        <v>434</v>
      </c>
      <c r="E282" s="214" t="s">
        <v>1079</v>
      </c>
      <c r="F282" s="214" t="s">
        <v>460</v>
      </c>
      <c r="G282" s="214" t="s">
        <v>1141</v>
      </c>
      <c r="H282" s="214" t="s">
        <v>1152</v>
      </c>
      <c r="I282" s="105" t="str">
        <f>LEFT(Table_CampList[[#This Row],[Village_Pcode]],12)</f>
        <v>MMR012001701</v>
      </c>
      <c r="J282" s="214"/>
      <c r="K282" s="214" t="s">
        <v>1153</v>
      </c>
      <c r="L282" s="214" t="s">
        <v>536</v>
      </c>
      <c r="M282" s="214" t="s">
        <v>625</v>
      </c>
      <c r="N282" s="214" t="s">
        <v>1054</v>
      </c>
      <c r="O282" s="214" t="s">
        <v>783</v>
      </c>
      <c r="P282" s="214" t="s">
        <v>784</v>
      </c>
      <c r="Q282" s="214">
        <v>0</v>
      </c>
      <c r="R282" s="214">
        <v>0</v>
      </c>
      <c r="S282" s="1" t="e">
        <f>Table_CampList[[#This Row],[Total]]/Table_CampList[[#This Row],[HH]]</f>
        <v>#DIV/0!</v>
      </c>
      <c r="T282" s="214" t="s">
        <v>1234</v>
      </c>
      <c r="U282" s="6" t="s">
        <v>1253</v>
      </c>
      <c r="V282" s="214" t="s">
        <v>647</v>
      </c>
      <c r="W282" s="214"/>
      <c r="BF282" s="10"/>
      <c r="BG282" s="10"/>
    </row>
    <row r="283" spans="1:59" s="9" customFormat="1" ht="18" customHeight="1">
      <c r="A283" s="287">
        <v>282</v>
      </c>
      <c r="B283" s="291">
        <v>41416</v>
      </c>
      <c r="C283" s="289" t="s">
        <v>1077</v>
      </c>
      <c r="D283" s="1" t="s">
        <v>434</v>
      </c>
      <c r="E283" s="214" t="s">
        <v>1079</v>
      </c>
      <c r="F283" s="214" t="s">
        <v>460</v>
      </c>
      <c r="G283" s="214" t="s">
        <v>1141</v>
      </c>
      <c r="H283" s="214" t="s">
        <v>1167</v>
      </c>
      <c r="I283" s="105" t="str">
        <f>LEFT(Table_CampList[[#This Row],[Village_Pcode]],12)</f>
        <v>MMR012001701</v>
      </c>
      <c r="J283" s="214"/>
      <c r="K283" s="214" t="s">
        <v>1172</v>
      </c>
      <c r="L283" s="214" t="s">
        <v>537</v>
      </c>
      <c r="M283" s="214" t="s">
        <v>626</v>
      </c>
      <c r="N283" s="214" t="s">
        <v>1054</v>
      </c>
      <c r="O283" s="214" t="s">
        <v>785</v>
      </c>
      <c r="P283" s="214" t="s">
        <v>786</v>
      </c>
      <c r="Q283" s="214">
        <v>0</v>
      </c>
      <c r="R283" s="214">
        <v>0</v>
      </c>
      <c r="S283" s="1" t="e">
        <f>Table_CampList[[#This Row],[Total]]/Table_CampList[[#This Row],[HH]]</f>
        <v>#DIV/0!</v>
      </c>
      <c r="T283" s="214" t="s">
        <v>1234</v>
      </c>
      <c r="U283" s="6" t="s">
        <v>1253</v>
      </c>
      <c r="V283" s="214" t="s">
        <v>647</v>
      </c>
      <c r="W283" s="214"/>
      <c r="BF283" s="10"/>
      <c r="BG283" s="10"/>
    </row>
    <row r="284" spans="1:59" s="9" customFormat="1" ht="13.5" customHeight="1">
      <c r="A284" s="287">
        <v>283</v>
      </c>
      <c r="B284" s="291">
        <v>41416</v>
      </c>
      <c r="C284" s="289" t="s">
        <v>1077</v>
      </c>
      <c r="D284" s="1" t="s">
        <v>434</v>
      </c>
      <c r="E284" s="214" t="s">
        <v>1079</v>
      </c>
      <c r="F284" s="214" t="s">
        <v>460</v>
      </c>
      <c r="G284" s="214" t="s">
        <v>1141</v>
      </c>
      <c r="H284" s="214" t="s">
        <v>1167</v>
      </c>
      <c r="I284" s="105" t="str">
        <f>LEFT(Table_CampList[[#This Row],[Village_Pcode]],12)</f>
        <v>MMR012001701</v>
      </c>
      <c r="J284" s="214"/>
      <c r="K284" s="214" t="s">
        <v>1172</v>
      </c>
      <c r="L284" s="214" t="s">
        <v>538</v>
      </c>
      <c r="M284" s="214" t="s">
        <v>627</v>
      </c>
      <c r="N284" s="214" t="s">
        <v>1054</v>
      </c>
      <c r="O284" s="214" t="s">
        <v>787</v>
      </c>
      <c r="P284" s="214" t="s">
        <v>788</v>
      </c>
      <c r="Q284" s="214">
        <v>0</v>
      </c>
      <c r="R284" s="214">
        <v>0</v>
      </c>
      <c r="S284" s="1" t="e">
        <f>Table_CampList[[#This Row],[Total]]/Table_CampList[[#This Row],[HH]]</f>
        <v>#DIV/0!</v>
      </c>
      <c r="T284" s="214" t="s">
        <v>1234</v>
      </c>
      <c r="U284" s="6" t="s">
        <v>1253</v>
      </c>
      <c r="V284" s="214" t="s">
        <v>647</v>
      </c>
      <c r="W284" s="214"/>
      <c r="BF284" s="10"/>
      <c r="BG284" s="10"/>
    </row>
    <row r="285" spans="1:59" s="9" customFormat="1" ht="16.5" customHeight="1">
      <c r="A285" s="287">
        <v>286</v>
      </c>
      <c r="B285" s="291">
        <v>41416</v>
      </c>
      <c r="C285" s="289" t="s">
        <v>1077</v>
      </c>
      <c r="D285" s="1" t="s">
        <v>434</v>
      </c>
      <c r="E285" s="214" t="s">
        <v>1079</v>
      </c>
      <c r="F285" s="214" t="s">
        <v>460</v>
      </c>
      <c r="G285" s="214" t="s">
        <v>1141</v>
      </c>
      <c r="H285" s="214" t="s">
        <v>1167</v>
      </c>
      <c r="I285" s="105" t="str">
        <f>LEFT(Table_CampList[[#This Row],[Village_Pcode]],12)</f>
        <v>MMR012001701</v>
      </c>
      <c r="J285" s="214"/>
      <c r="K285" s="214" t="s">
        <v>1172</v>
      </c>
      <c r="L285" s="214" t="s">
        <v>541</v>
      </c>
      <c r="M285" s="214" t="s">
        <v>630</v>
      </c>
      <c r="N285" s="214" t="s">
        <v>1054</v>
      </c>
      <c r="O285" s="214" t="s">
        <v>793</v>
      </c>
      <c r="P285" s="214" t="s">
        <v>794</v>
      </c>
      <c r="Q285" s="214">
        <v>0</v>
      </c>
      <c r="R285" s="214">
        <v>0</v>
      </c>
      <c r="S285" s="1" t="e">
        <f>Table_CampList[[#This Row],[Total]]/Table_CampList[[#This Row],[HH]]</f>
        <v>#DIV/0!</v>
      </c>
      <c r="T285" s="214" t="s">
        <v>1234</v>
      </c>
      <c r="U285" s="6" t="s">
        <v>1253</v>
      </c>
      <c r="V285" s="214" t="s">
        <v>647</v>
      </c>
      <c r="W285" s="214"/>
      <c r="BF285" s="10"/>
      <c r="BG285" s="10"/>
    </row>
    <row r="286" spans="1:59" s="9" customFormat="1" ht="22.5" customHeight="1">
      <c r="A286" s="287">
        <v>276</v>
      </c>
      <c r="B286" s="291">
        <v>41416</v>
      </c>
      <c r="C286" s="289" t="s">
        <v>1077</v>
      </c>
      <c r="D286" s="1" t="s">
        <v>434</v>
      </c>
      <c r="E286" s="214" t="s">
        <v>1079</v>
      </c>
      <c r="F286" s="214" t="s">
        <v>460</v>
      </c>
      <c r="G286" s="214" t="s">
        <v>1141</v>
      </c>
      <c r="H286" s="214" t="s">
        <v>1165</v>
      </c>
      <c r="I286" s="105" t="str">
        <f>LEFT(Table_CampList[[#This Row],[Village_Pcode]],12)</f>
        <v>MMR012001701</v>
      </c>
      <c r="J286" s="214"/>
      <c r="K286" s="214" t="s">
        <v>1170</v>
      </c>
      <c r="L286" s="214" t="s">
        <v>531</v>
      </c>
      <c r="M286" s="214" t="s">
        <v>620</v>
      </c>
      <c r="N286" s="214" t="s">
        <v>1054</v>
      </c>
      <c r="O286" s="214" t="s">
        <v>773</v>
      </c>
      <c r="P286" s="214" t="s">
        <v>774</v>
      </c>
      <c r="Q286" s="214">
        <v>0</v>
      </c>
      <c r="R286" s="214">
        <v>0</v>
      </c>
      <c r="S286" s="1" t="e">
        <f>Table_CampList[[#This Row],[Total]]/Table_CampList[[#This Row],[HH]]</f>
        <v>#DIV/0!</v>
      </c>
      <c r="T286" s="214" t="s">
        <v>1234</v>
      </c>
      <c r="U286" s="6" t="s">
        <v>1253</v>
      </c>
      <c r="V286" s="214" t="s">
        <v>647</v>
      </c>
      <c r="W286" s="214"/>
      <c r="BF286" s="10"/>
      <c r="BG286" s="10"/>
    </row>
    <row r="287" spans="1:59" s="9" customFormat="1" ht="18.75" customHeight="1">
      <c r="A287" s="287">
        <v>272</v>
      </c>
      <c r="B287" s="291">
        <v>41416</v>
      </c>
      <c r="C287" s="289" t="s">
        <v>1077</v>
      </c>
      <c r="D287" s="1" t="s">
        <v>434</v>
      </c>
      <c r="E287" s="214" t="s">
        <v>1079</v>
      </c>
      <c r="F287" s="214" t="s">
        <v>460</v>
      </c>
      <c r="G287" s="214" t="s">
        <v>1141</v>
      </c>
      <c r="H287" s="214" t="s">
        <v>1162</v>
      </c>
      <c r="I287" s="105" t="str">
        <f>LEFT(Table_CampList[[#This Row],[Village_Pcode]],12)</f>
        <v>MMR012001701</v>
      </c>
      <c r="J287" s="214"/>
      <c r="K287" s="214" t="s">
        <v>1168</v>
      </c>
      <c r="L287" s="214" t="s">
        <v>527</v>
      </c>
      <c r="M287" s="214" t="s">
        <v>616</v>
      </c>
      <c r="N287" s="214" t="s">
        <v>1054</v>
      </c>
      <c r="O287" s="214" t="s">
        <v>765</v>
      </c>
      <c r="P287" s="214" t="s">
        <v>766</v>
      </c>
      <c r="Q287" s="214">
        <v>0</v>
      </c>
      <c r="R287" s="214">
        <v>0</v>
      </c>
      <c r="S287" s="1" t="e">
        <f>Table_CampList[[#This Row],[Total]]/Table_CampList[[#This Row],[HH]]</f>
        <v>#DIV/0!</v>
      </c>
      <c r="T287" s="214" t="s">
        <v>1234</v>
      </c>
      <c r="U287" s="6" t="s">
        <v>1253</v>
      </c>
      <c r="V287" s="214" t="s">
        <v>647</v>
      </c>
      <c r="W287" s="214"/>
      <c r="BF287" s="10"/>
      <c r="BG287" s="10"/>
    </row>
    <row r="288" spans="1:59" s="9" customFormat="1" ht="21.75" customHeight="1">
      <c r="A288" s="287">
        <v>275</v>
      </c>
      <c r="B288" s="291">
        <v>41416</v>
      </c>
      <c r="C288" s="289" t="s">
        <v>1077</v>
      </c>
      <c r="D288" s="1" t="s">
        <v>434</v>
      </c>
      <c r="E288" s="214" t="s">
        <v>1079</v>
      </c>
      <c r="F288" s="214" t="s">
        <v>460</v>
      </c>
      <c r="G288" s="214" t="s">
        <v>1141</v>
      </c>
      <c r="H288" s="214" t="s">
        <v>1164</v>
      </c>
      <c r="I288" s="105" t="str">
        <f>LEFT(Table_CampList[[#This Row],[Village_Pcode]],12)</f>
        <v>MMR012001701</v>
      </c>
      <c r="J288" s="214"/>
      <c r="K288" s="214" t="s">
        <v>1168</v>
      </c>
      <c r="L288" s="214" t="s">
        <v>530</v>
      </c>
      <c r="M288" s="214" t="s">
        <v>619</v>
      </c>
      <c r="N288" s="214" t="s">
        <v>1054</v>
      </c>
      <c r="O288" s="214" t="s">
        <v>771</v>
      </c>
      <c r="P288" s="214" t="s">
        <v>772</v>
      </c>
      <c r="Q288" s="214">
        <v>0</v>
      </c>
      <c r="R288" s="214">
        <v>0</v>
      </c>
      <c r="S288" s="1" t="e">
        <f>Table_CampList[[#This Row],[Total]]/Table_CampList[[#This Row],[HH]]</f>
        <v>#DIV/0!</v>
      </c>
      <c r="T288" s="214" t="s">
        <v>1234</v>
      </c>
      <c r="U288" s="6" t="s">
        <v>1253</v>
      </c>
      <c r="V288" s="214" t="s">
        <v>647</v>
      </c>
      <c r="W288" s="214"/>
      <c r="BF288" s="10"/>
      <c r="BG288" s="10"/>
    </row>
    <row r="289" spans="1:59" s="9" customFormat="1" ht="19.5" customHeight="1">
      <c r="A289" s="287">
        <v>271</v>
      </c>
      <c r="B289" s="291">
        <v>41416</v>
      </c>
      <c r="C289" s="289" t="s">
        <v>1077</v>
      </c>
      <c r="D289" s="1" t="s">
        <v>434</v>
      </c>
      <c r="E289" s="214" t="s">
        <v>1079</v>
      </c>
      <c r="F289" s="214" t="s">
        <v>460</v>
      </c>
      <c r="G289" s="214" t="s">
        <v>1141</v>
      </c>
      <c r="H289" s="214" t="s">
        <v>1160</v>
      </c>
      <c r="I289" s="105" t="str">
        <f>LEFT(Table_CampList[[#This Row],[Village_Pcode]],12)</f>
        <v>MMR012001701</v>
      </c>
      <c r="J289" s="214"/>
      <c r="K289" s="214" t="s">
        <v>1161</v>
      </c>
      <c r="L289" s="214" t="s">
        <v>526</v>
      </c>
      <c r="M289" s="214" t="s">
        <v>615</v>
      </c>
      <c r="N289" s="214" t="s">
        <v>1054</v>
      </c>
      <c r="O289" s="214" t="s">
        <v>763</v>
      </c>
      <c r="P289" s="214" t="s">
        <v>764</v>
      </c>
      <c r="Q289" s="214">
        <v>0</v>
      </c>
      <c r="R289" s="214">
        <v>0</v>
      </c>
      <c r="S289" s="1" t="e">
        <f>Table_CampList[[#This Row],[Total]]/Table_CampList[[#This Row],[HH]]</f>
        <v>#DIV/0!</v>
      </c>
      <c r="T289" s="214" t="s">
        <v>1234</v>
      </c>
      <c r="U289" s="6" t="s">
        <v>1253</v>
      </c>
      <c r="V289" s="214" t="s">
        <v>647</v>
      </c>
      <c r="W289" s="214"/>
      <c r="BF289" s="10"/>
      <c r="BG289" s="10"/>
    </row>
    <row r="290" spans="1:59" s="9" customFormat="1" ht="21.75" customHeight="1">
      <c r="A290" s="287">
        <v>285</v>
      </c>
      <c r="B290" s="291">
        <v>41416</v>
      </c>
      <c r="C290" s="289" t="s">
        <v>1077</v>
      </c>
      <c r="D290" s="1" t="s">
        <v>434</v>
      </c>
      <c r="E290" s="214" t="s">
        <v>1079</v>
      </c>
      <c r="F290" s="214" t="s">
        <v>460</v>
      </c>
      <c r="G290" s="214" t="s">
        <v>1141</v>
      </c>
      <c r="H290" s="214" t="s">
        <v>1160</v>
      </c>
      <c r="I290" s="105" t="str">
        <f>LEFT(Table_CampList[[#This Row],[Village_Pcode]],12)</f>
        <v>MMR012001701</v>
      </c>
      <c r="J290" s="214"/>
      <c r="K290" s="214" t="s">
        <v>1161</v>
      </c>
      <c r="L290" s="214" t="s">
        <v>540</v>
      </c>
      <c r="M290" s="214" t="s">
        <v>629</v>
      </c>
      <c r="N290" s="214" t="s">
        <v>1054</v>
      </c>
      <c r="O290" s="214" t="s">
        <v>791</v>
      </c>
      <c r="P290" s="214" t="s">
        <v>792</v>
      </c>
      <c r="Q290" s="214">
        <v>0</v>
      </c>
      <c r="R290" s="214">
        <v>0</v>
      </c>
      <c r="S290" s="1" t="e">
        <f>Table_CampList[[#This Row],[Total]]/Table_CampList[[#This Row],[HH]]</f>
        <v>#DIV/0!</v>
      </c>
      <c r="T290" s="214" t="s">
        <v>1234</v>
      </c>
      <c r="U290" s="6" t="s">
        <v>1253</v>
      </c>
      <c r="V290" s="214" t="s">
        <v>647</v>
      </c>
      <c r="W290" s="214"/>
      <c r="BF290" s="10"/>
      <c r="BG290" s="10"/>
    </row>
    <row r="291" spans="1:59" s="9" customFormat="1" ht="23.25" customHeight="1">
      <c r="A291" s="287">
        <v>278</v>
      </c>
      <c r="B291" s="291">
        <v>41416</v>
      </c>
      <c r="C291" s="289" t="s">
        <v>1077</v>
      </c>
      <c r="D291" s="1" t="s">
        <v>434</v>
      </c>
      <c r="E291" s="214" t="s">
        <v>1079</v>
      </c>
      <c r="F291" s="214" t="s">
        <v>460</v>
      </c>
      <c r="G291" s="214" t="s">
        <v>1141</v>
      </c>
      <c r="H291" s="214" t="s">
        <v>1166</v>
      </c>
      <c r="I291" s="105" t="str">
        <f>LEFT(Table_CampList[[#This Row],[Village_Pcode]],12)</f>
        <v>MMR012001701</v>
      </c>
      <c r="J291" s="214"/>
      <c r="K291" s="214" t="s">
        <v>1171</v>
      </c>
      <c r="L291" s="214" t="s">
        <v>533</v>
      </c>
      <c r="M291" s="214" t="s">
        <v>622</v>
      </c>
      <c r="N291" s="214" t="s">
        <v>1054</v>
      </c>
      <c r="O291" s="214" t="s">
        <v>777</v>
      </c>
      <c r="P291" s="214" t="s">
        <v>778</v>
      </c>
      <c r="Q291" s="214">
        <v>0</v>
      </c>
      <c r="R291" s="214">
        <v>0</v>
      </c>
      <c r="S291" s="1" t="e">
        <f>Table_CampList[[#This Row],[Total]]/Table_CampList[[#This Row],[HH]]</f>
        <v>#DIV/0!</v>
      </c>
      <c r="T291" s="214" t="s">
        <v>1234</v>
      </c>
      <c r="U291" s="6" t="s">
        <v>1253</v>
      </c>
      <c r="V291" s="214" t="s">
        <v>647</v>
      </c>
      <c r="W291" s="214"/>
      <c r="BF291" s="10"/>
      <c r="BG291" s="10"/>
    </row>
    <row r="292" spans="1:59" s="9" customFormat="1" ht="15.75" customHeight="1">
      <c r="A292" s="286">
        <v>265</v>
      </c>
      <c r="B292" s="290">
        <v>41416</v>
      </c>
      <c r="C292" s="288" t="s">
        <v>1076</v>
      </c>
      <c r="D292" s="1" t="s">
        <v>434</v>
      </c>
      <c r="E292" s="1" t="s">
        <v>1079</v>
      </c>
      <c r="F292" s="1" t="s">
        <v>460</v>
      </c>
      <c r="G292" s="1" t="s">
        <v>1141</v>
      </c>
      <c r="H292" s="241" t="s">
        <v>1155</v>
      </c>
      <c r="I292" s="105" t="str">
        <f>LEFT(Table_CampList[[#This Row],[Village_Pcode]],12)</f>
        <v>MMR012001701</v>
      </c>
      <c r="J292" s="1"/>
      <c r="K292" s="241" t="s">
        <v>1154</v>
      </c>
      <c r="L292" s="1" t="s">
        <v>520</v>
      </c>
      <c r="M292" s="1" t="s">
        <v>609</v>
      </c>
      <c r="N292" s="1" t="s">
        <v>1054</v>
      </c>
      <c r="O292" s="1" t="s">
        <v>751</v>
      </c>
      <c r="P292" s="1" t="s">
        <v>752</v>
      </c>
      <c r="Q292" s="1">
        <v>120</v>
      </c>
      <c r="R292" s="1">
        <v>572</v>
      </c>
      <c r="S292" s="1">
        <f>Table_CampList[[#This Row],[Total]]/Table_CampList[[#This Row],[HH]]</f>
        <v>4.766666666666667</v>
      </c>
      <c r="T292" s="1" t="s">
        <v>1234</v>
      </c>
      <c r="U292" s="6" t="s">
        <v>1253</v>
      </c>
      <c r="V292" s="1" t="s">
        <v>464</v>
      </c>
      <c r="W292" s="1"/>
      <c r="BF292" s="10"/>
      <c r="BG292" s="10"/>
    </row>
    <row r="293" spans="1:59" s="9" customFormat="1" ht="15">
      <c r="A293" s="286">
        <v>268</v>
      </c>
      <c r="B293" s="290">
        <v>41416</v>
      </c>
      <c r="C293" s="288" t="s">
        <v>1076</v>
      </c>
      <c r="D293" s="1" t="s">
        <v>434</v>
      </c>
      <c r="E293" s="1" t="s">
        <v>1079</v>
      </c>
      <c r="F293" s="1" t="s">
        <v>460</v>
      </c>
      <c r="G293" s="1" t="s">
        <v>1141</v>
      </c>
      <c r="H293" s="1" t="s">
        <v>1151</v>
      </c>
      <c r="I293" s="105" t="str">
        <f>LEFT(Table_CampList[[#This Row],[Village_Pcode]],12)</f>
        <v>MMR012001701</v>
      </c>
      <c r="J293" s="1"/>
      <c r="K293" s="1" t="s">
        <v>1150</v>
      </c>
      <c r="L293" s="1" t="s">
        <v>523</v>
      </c>
      <c r="M293" s="1" t="s">
        <v>612</v>
      </c>
      <c r="N293" s="1" t="s">
        <v>1054</v>
      </c>
      <c r="O293" s="1" t="s">
        <v>757</v>
      </c>
      <c r="P293" s="1" t="s">
        <v>758</v>
      </c>
      <c r="Q293" s="1">
        <v>220</v>
      </c>
      <c r="R293" s="1">
        <v>1172</v>
      </c>
      <c r="S293" s="1">
        <f>Table_CampList[[#This Row],[Total]]/Table_CampList[[#This Row],[HH]]</f>
        <v>5.327272727272727</v>
      </c>
      <c r="T293" s="1" t="s">
        <v>1234</v>
      </c>
      <c r="U293" s="6" t="s">
        <v>1253</v>
      </c>
      <c r="V293" s="1" t="s">
        <v>464</v>
      </c>
      <c r="W293" s="1"/>
      <c r="BF293" s="10"/>
      <c r="BG293" s="10"/>
    </row>
    <row r="294" spans="1:59" s="9" customFormat="1" ht="15">
      <c r="A294" s="287">
        <v>306</v>
      </c>
      <c r="B294" s="291">
        <v>41416</v>
      </c>
      <c r="C294" s="289" t="s">
        <v>1076</v>
      </c>
      <c r="D294" s="1" t="s">
        <v>434</v>
      </c>
      <c r="E294" s="214" t="s">
        <v>1079</v>
      </c>
      <c r="F294" s="215" t="s">
        <v>460</v>
      </c>
      <c r="G294" s="214" t="s">
        <v>1141</v>
      </c>
      <c r="H294" s="214" t="s">
        <v>1151</v>
      </c>
      <c r="I294" s="105" t="str">
        <f>LEFT(Table_CampList[[#This Row],[Village_Pcode]],12)</f>
        <v>MMR012001701</v>
      </c>
      <c r="J294" s="215"/>
      <c r="K294" s="214" t="s">
        <v>1150</v>
      </c>
      <c r="L294" s="215" t="s">
        <v>879</v>
      </c>
      <c r="M294" s="216" t="s">
        <v>949</v>
      </c>
      <c r="N294" s="1" t="s">
        <v>1054</v>
      </c>
      <c r="O294" s="217" t="s">
        <v>950</v>
      </c>
      <c r="P294" s="217" t="s">
        <v>951</v>
      </c>
      <c r="Q294" s="218">
        <v>158</v>
      </c>
      <c r="R294" s="218">
        <v>579</v>
      </c>
      <c r="S294" s="1">
        <f>Table_CampList[[#This Row],[Total]]/Table_CampList[[#This Row],[HH]]</f>
        <v>3.6645569620253164</v>
      </c>
      <c r="T294" s="1" t="s">
        <v>1234</v>
      </c>
      <c r="U294" s="6" t="s">
        <v>1253</v>
      </c>
      <c r="V294" s="215" t="s">
        <v>464</v>
      </c>
      <c r="W294" s="215"/>
      <c r="BF294" s="10"/>
      <c r="BG294" s="10"/>
    </row>
    <row r="295" spans="1:59" s="9" customFormat="1" ht="15">
      <c r="A295" s="286">
        <v>267</v>
      </c>
      <c r="B295" s="290">
        <v>41416</v>
      </c>
      <c r="C295" s="288" t="s">
        <v>1076</v>
      </c>
      <c r="D295" s="1" t="s">
        <v>434</v>
      </c>
      <c r="E295" s="1" t="s">
        <v>1079</v>
      </c>
      <c r="F295" s="1" t="s">
        <v>460</v>
      </c>
      <c r="G295" s="1" t="s">
        <v>1141</v>
      </c>
      <c r="H295" s="1" t="s">
        <v>1158</v>
      </c>
      <c r="I295" s="105" t="str">
        <f>LEFT(Table_CampList[[#This Row],[Village_Pcode]],12)</f>
        <v>MMR012001701</v>
      </c>
      <c r="J295" s="1"/>
      <c r="K295" s="1" t="s">
        <v>1159</v>
      </c>
      <c r="L295" s="1" t="s">
        <v>522</v>
      </c>
      <c r="M295" s="1" t="s">
        <v>611</v>
      </c>
      <c r="N295" s="1" t="s">
        <v>1054</v>
      </c>
      <c r="O295" s="1" t="s">
        <v>755</v>
      </c>
      <c r="P295" s="1" t="s">
        <v>756</v>
      </c>
      <c r="Q295" s="1">
        <v>70</v>
      </c>
      <c r="R295" s="1">
        <v>305</v>
      </c>
      <c r="S295" s="1">
        <f>Table_CampList[[#This Row],[Total]]/Table_CampList[[#This Row],[HH]]</f>
        <v>4.357142857142857</v>
      </c>
      <c r="T295" s="1" t="s">
        <v>1234</v>
      </c>
      <c r="U295" s="6" t="s">
        <v>1253</v>
      </c>
      <c r="V295" s="1" t="s">
        <v>464</v>
      </c>
      <c r="W295" s="1"/>
      <c r="BF295" s="10"/>
      <c r="BG295" s="10"/>
    </row>
    <row r="296" spans="1:59" s="9" customFormat="1" ht="16.5" customHeight="1">
      <c r="A296" s="286">
        <v>266</v>
      </c>
      <c r="B296" s="290">
        <v>41416</v>
      </c>
      <c r="C296" s="288" t="s">
        <v>1076</v>
      </c>
      <c r="D296" s="1" t="s">
        <v>434</v>
      </c>
      <c r="E296" s="1" t="s">
        <v>1079</v>
      </c>
      <c r="F296" s="1" t="s">
        <v>460</v>
      </c>
      <c r="G296" s="1" t="s">
        <v>1141</v>
      </c>
      <c r="H296" s="1" t="s">
        <v>1156</v>
      </c>
      <c r="I296" s="105" t="str">
        <f>LEFT(Table_CampList[[#This Row],[Village_Pcode]],12)</f>
        <v>MMR012001701</v>
      </c>
      <c r="J296" s="1"/>
      <c r="K296" s="1" t="s">
        <v>1157</v>
      </c>
      <c r="L296" s="1" t="s">
        <v>521</v>
      </c>
      <c r="M296" s="1" t="s">
        <v>610</v>
      </c>
      <c r="N296" s="1" t="s">
        <v>1054</v>
      </c>
      <c r="O296" s="1" t="s">
        <v>753</v>
      </c>
      <c r="P296" s="1" t="s">
        <v>754</v>
      </c>
      <c r="Q296" s="1">
        <v>80</v>
      </c>
      <c r="R296" s="1">
        <v>353</v>
      </c>
      <c r="S296" s="1">
        <f>Table_CampList[[#This Row],[Total]]/Table_CampList[[#This Row],[HH]]</f>
        <v>4.4125</v>
      </c>
      <c r="T296" s="1" t="s">
        <v>1234</v>
      </c>
      <c r="U296" s="6" t="s">
        <v>1253</v>
      </c>
      <c r="V296" s="1" t="s">
        <v>464</v>
      </c>
      <c r="W296" s="1"/>
      <c r="BF296" s="10"/>
      <c r="BG296" s="10"/>
    </row>
    <row r="297" spans="1:59" s="9" customFormat="1" ht="15">
      <c r="A297" s="286">
        <v>251</v>
      </c>
      <c r="B297" s="290">
        <v>41416</v>
      </c>
      <c r="C297" s="288" t="s">
        <v>1076</v>
      </c>
      <c r="D297" s="1" t="s">
        <v>434</v>
      </c>
      <c r="E297" s="1" t="s">
        <v>1079</v>
      </c>
      <c r="F297" s="1" t="s">
        <v>460</v>
      </c>
      <c r="G297" s="1" t="s">
        <v>1141</v>
      </c>
      <c r="H297" s="1" t="s">
        <v>1230</v>
      </c>
      <c r="I297" s="105" t="str">
        <f>LEFT(Table_CampList[[#This Row],[Village_Pcode]],12)</f>
        <v>MMR012002701</v>
      </c>
      <c r="J297" s="1"/>
      <c r="K297" s="1" t="s">
        <v>1231</v>
      </c>
      <c r="L297" s="1" t="s">
        <v>506</v>
      </c>
      <c r="M297" s="1" t="s">
        <v>595</v>
      </c>
      <c r="N297" s="1" t="s">
        <v>1054</v>
      </c>
      <c r="O297" s="1" t="s">
        <v>723</v>
      </c>
      <c r="P297" s="1" t="s">
        <v>724</v>
      </c>
      <c r="Q297" s="1">
        <v>395</v>
      </c>
      <c r="R297" s="1">
        <v>1790</v>
      </c>
      <c r="S297" s="1">
        <f>Table_CampList[[#This Row],[Total]]/Table_CampList[[#This Row],[HH]]</f>
        <v>4.531645569620253</v>
      </c>
      <c r="T297" s="1" t="s">
        <v>1234</v>
      </c>
      <c r="U297" s="6" t="s">
        <v>1253</v>
      </c>
      <c r="V297" s="1" t="s">
        <v>464</v>
      </c>
      <c r="W297" s="1"/>
      <c r="BF297" s="10"/>
      <c r="BG297" s="10"/>
    </row>
    <row r="298" spans="1:59" s="9" customFormat="1" ht="15">
      <c r="A298" s="287">
        <v>284</v>
      </c>
      <c r="B298" s="291">
        <v>41416</v>
      </c>
      <c r="C298" s="289" t="s">
        <v>1077</v>
      </c>
      <c r="D298" s="1" t="s">
        <v>434</v>
      </c>
      <c r="E298" s="214" t="s">
        <v>1079</v>
      </c>
      <c r="F298" s="214" t="s">
        <v>460</v>
      </c>
      <c r="G298" s="214" t="s">
        <v>1141</v>
      </c>
      <c r="H298" s="214"/>
      <c r="I298" s="214"/>
      <c r="J298" s="214"/>
      <c r="K298" s="214"/>
      <c r="L298" s="214" t="s">
        <v>539</v>
      </c>
      <c r="M298" s="214" t="s">
        <v>628</v>
      </c>
      <c r="N298" s="214" t="s">
        <v>1054</v>
      </c>
      <c r="O298" s="214" t="s">
        <v>789</v>
      </c>
      <c r="P298" s="214" t="s">
        <v>790</v>
      </c>
      <c r="Q298" s="214">
        <v>0</v>
      </c>
      <c r="R298" s="214">
        <v>0</v>
      </c>
      <c r="S298" s="1" t="e">
        <f>Table_CampList[[#This Row],[Total]]/Table_CampList[[#This Row],[HH]]</f>
        <v>#DIV/0!</v>
      </c>
      <c r="T298" s="214" t="s">
        <v>1234</v>
      </c>
      <c r="U298" s="6" t="s">
        <v>1253</v>
      </c>
      <c r="V298" s="214" t="s">
        <v>647</v>
      </c>
      <c r="W298" s="214"/>
      <c r="BF298" s="10"/>
      <c r="BG298" s="10"/>
    </row>
  </sheetData>
  <mergeCells count="1">
    <mergeCell ref="A3:C3"/>
  </mergeCells>
  <dataValidations count="7">
    <dataValidation type="list" allowBlank="1" showInputMessage="1" showErrorMessage="1" sqref="F297:F298 F203:F291">
      <formula1>INDIRECT(D203)</formula1>
    </dataValidation>
    <dataValidation type="list" showInputMessage="1" showErrorMessage="1" sqref="F292:F296">
      <formula1>INDIRECT(D292)</formula1>
    </dataValidation>
    <dataValidation type="list" allowBlank="1" showInputMessage="1" showErrorMessage="1" sqref="N5:N298">
      <formula1>Camp_Accessibility</formula1>
    </dataValidation>
    <dataValidation type="list" allowBlank="1" showInputMessage="1" showErrorMessage="1" sqref="C5:C298">
      <formula1>"Open, Close"</formula1>
    </dataValidation>
    <dataValidation type="list" allowBlank="1" showInputMessage="1" showErrorMessage="1" sqref="V215:V239 V241:V298">
      <formula1>[3]list!#REF!</formula1>
    </dataValidation>
    <dataValidation type="list" allowBlank="1" showInputMessage="1" showErrorMessage="1" sqref="V240 V203:V214">
      <formula1>list!$D$2:$D$6</formula1>
    </dataValidation>
    <dataValidation type="list" allowBlank="1" showInputMessage="1" showErrorMessage="1" sqref="D5:D298">
      <formula1>list!$A$2:$A$3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showZeros="0" workbookViewId="0" topLeftCell="A1">
      <selection activeCell="I19" sqref="I19"/>
    </sheetView>
  </sheetViews>
  <sheetFormatPr defaultColWidth="9.140625" defaultRowHeight="15"/>
  <cols>
    <col min="1" max="1" width="23.421875" style="0" customWidth="1"/>
    <col min="2" max="2" width="26.28125" style="0" customWidth="1"/>
    <col min="3" max="3" width="27.00390625" style="0" customWidth="1"/>
    <col min="4" max="4" width="29.421875" style="0" customWidth="1"/>
    <col min="5" max="5" width="18.140625" style="0" customWidth="1"/>
  </cols>
  <sheetData>
    <row r="1" spans="1:6" s="168" customFormat="1" ht="15">
      <c r="A1" s="168" t="s">
        <v>1039</v>
      </c>
      <c r="B1" s="168" t="s">
        <v>1041</v>
      </c>
      <c r="C1" s="168" t="s">
        <v>1040</v>
      </c>
      <c r="D1" s="168" t="s">
        <v>805</v>
      </c>
      <c r="E1" s="168" t="s">
        <v>1043</v>
      </c>
      <c r="F1" s="168" t="s">
        <v>1042</v>
      </c>
    </row>
    <row r="2" spans="1:6" ht="15">
      <c r="A2" t="s">
        <v>831</v>
      </c>
      <c r="B2" t="s">
        <v>1018</v>
      </c>
      <c r="C2" t="s">
        <v>1008</v>
      </c>
      <c r="D2" t="s">
        <v>1011</v>
      </c>
      <c r="E2">
        <v>6</v>
      </c>
      <c r="F2">
        <v>1</v>
      </c>
    </row>
    <row r="3" spans="1:6" ht="15">
      <c r="A3" t="s">
        <v>1026</v>
      </c>
      <c r="B3" t="s">
        <v>1027</v>
      </c>
      <c r="C3" t="s">
        <v>1028</v>
      </c>
      <c r="D3" t="s">
        <v>1029</v>
      </c>
      <c r="E3" s="198">
        <v>6</v>
      </c>
      <c r="F3">
        <v>2</v>
      </c>
    </row>
    <row r="4" spans="1:6" ht="15">
      <c r="A4" t="s">
        <v>984</v>
      </c>
      <c r="B4" t="s">
        <v>1019</v>
      </c>
      <c r="C4" t="s">
        <v>1004</v>
      </c>
      <c r="D4" t="s">
        <v>1014</v>
      </c>
      <c r="E4" s="198">
        <v>6</v>
      </c>
      <c r="F4">
        <v>1</v>
      </c>
    </row>
    <row r="5" spans="1:6" ht="15">
      <c r="A5" t="s">
        <v>832</v>
      </c>
      <c r="B5" t="s">
        <v>1020</v>
      </c>
      <c r="C5" t="s">
        <v>1009</v>
      </c>
      <c r="D5" t="s">
        <v>1012</v>
      </c>
      <c r="E5" s="198">
        <v>6</v>
      </c>
      <c r="F5">
        <v>1</v>
      </c>
    </row>
    <row r="6" spans="1:6" ht="15">
      <c r="A6" t="s">
        <v>986</v>
      </c>
      <c r="B6" t="s">
        <v>1021</v>
      </c>
      <c r="C6" t="s">
        <v>1013</v>
      </c>
      <c r="D6" t="s">
        <v>1017</v>
      </c>
      <c r="E6" s="198">
        <v>6</v>
      </c>
      <c r="F6">
        <v>2</v>
      </c>
    </row>
    <row r="7" spans="1:6" ht="15">
      <c r="A7" t="s">
        <v>799</v>
      </c>
      <c r="B7" t="s">
        <v>1022</v>
      </c>
      <c r="C7" t="s">
        <v>1005</v>
      </c>
      <c r="D7" t="s">
        <v>1015</v>
      </c>
      <c r="E7" s="198">
        <v>6</v>
      </c>
      <c r="F7">
        <v>1</v>
      </c>
    </row>
    <row r="8" spans="1:6" ht="15">
      <c r="A8" t="s">
        <v>985</v>
      </c>
      <c r="B8" t="s">
        <v>1023</v>
      </c>
      <c r="C8" t="s">
        <v>1006</v>
      </c>
      <c r="D8" t="s">
        <v>1016</v>
      </c>
      <c r="E8" s="198">
        <v>6</v>
      </c>
      <c r="F8">
        <v>1</v>
      </c>
    </row>
    <row r="9" spans="1:6" ht="15">
      <c r="A9" t="s">
        <v>987</v>
      </c>
      <c r="B9" t="s">
        <v>1024</v>
      </c>
      <c r="C9" t="s">
        <v>1007</v>
      </c>
      <c r="D9" t="s">
        <v>1010</v>
      </c>
      <c r="E9" s="198">
        <v>6</v>
      </c>
      <c r="F9">
        <v>1</v>
      </c>
    </row>
    <row r="20" ht="15">
      <c r="A20" s="5"/>
    </row>
  </sheetData>
  <printOptions gridLines="1"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G100"/>
  <sheetViews>
    <sheetView showZeros="0" zoomScale="60" zoomScaleNormal="6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19.421875" style="11" customWidth="1"/>
    <col min="2" max="2" width="16.28125" style="11" customWidth="1"/>
    <col min="3" max="3" width="16.8515625" style="11" customWidth="1"/>
    <col min="4" max="4" width="15.421875" style="11" customWidth="1"/>
    <col min="5" max="5" width="11.00390625" style="11" customWidth="1"/>
    <col min="6" max="6" width="11.421875" style="11" customWidth="1"/>
    <col min="7" max="7" width="18.7109375" style="11" customWidth="1"/>
    <col min="8" max="8" width="11.00390625" style="11" customWidth="1"/>
    <col min="9" max="9" width="14.28125" style="11" customWidth="1"/>
    <col min="10" max="10" width="10.7109375" style="11" customWidth="1"/>
    <col min="11" max="11" width="6.7109375" style="11" customWidth="1"/>
    <col min="12" max="12" width="11.28125" style="11" bestFit="1" customWidth="1"/>
    <col min="13" max="15" width="9.140625" style="11" customWidth="1"/>
    <col min="16" max="16" width="19.421875" style="11" bestFit="1" customWidth="1"/>
    <col min="17" max="17" width="15.421875" style="11" bestFit="1" customWidth="1"/>
    <col min="18" max="22" width="9.140625" style="11" customWidth="1"/>
    <col min="23" max="23" width="15.57421875" style="11" customWidth="1"/>
    <col min="24" max="24" width="10.7109375" style="11" customWidth="1"/>
    <col min="25" max="25" width="14.28125" style="11" bestFit="1" customWidth="1"/>
    <col min="26" max="26" width="10.140625" style="11" customWidth="1"/>
    <col min="27" max="27" width="9.140625" style="11" customWidth="1"/>
    <col min="28" max="28" width="7.421875" style="11" customWidth="1"/>
    <col min="29" max="29" width="7.00390625" style="11" customWidth="1"/>
    <col min="30" max="30" width="6.57421875" style="11" customWidth="1"/>
    <col min="31" max="31" width="9.8515625" style="11" bestFit="1" customWidth="1"/>
    <col min="32" max="32" width="7.140625" style="11" customWidth="1"/>
    <col min="33" max="33" width="8.140625" style="11" customWidth="1"/>
    <col min="34" max="34" width="6.00390625" style="11" customWidth="1"/>
    <col min="35" max="35" width="8.00390625" style="11" customWidth="1"/>
    <col min="36" max="36" width="9.421875" style="11" bestFit="1" customWidth="1"/>
    <col min="37" max="37" width="9.00390625" style="11" customWidth="1"/>
    <col min="38" max="38" width="10.8515625" style="11" bestFit="1" customWidth="1"/>
    <col min="39" max="39" width="9.8515625" style="11" bestFit="1" customWidth="1"/>
    <col min="40" max="40" width="13.8515625" style="11" bestFit="1" customWidth="1"/>
    <col min="41" max="42" width="7.28125" style="11" customWidth="1"/>
    <col min="43" max="43" width="11.57421875" style="11" bestFit="1" customWidth="1"/>
    <col min="44" max="16384" width="9.140625" style="11" customWidth="1"/>
  </cols>
  <sheetData>
    <row r="1" spans="1:59" s="238" customFormat="1" ht="36">
      <c r="A1" s="278"/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11"/>
      <c r="O1" s="11"/>
      <c r="P1" s="11"/>
      <c r="Q1" s="11"/>
      <c r="R1" s="11"/>
      <c r="S1" s="11"/>
      <c r="T1" s="11"/>
      <c r="U1" s="11"/>
      <c r="BF1" s="5"/>
      <c r="BG1" s="5"/>
    </row>
    <row r="2" spans="1:59" s="2" customFormat="1" ht="36">
      <c r="A2" s="329" t="s">
        <v>814</v>
      </c>
      <c r="B2" s="329"/>
      <c r="C2" s="329"/>
      <c r="D2" s="329"/>
      <c r="E2" s="329"/>
      <c r="F2" s="329"/>
      <c r="G2" s="282"/>
      <c r="H2" s="282"/>
      <c r="I2" s="282"/>
      <c r="J2" s="282"/>
      <c r="K2" s="282"/>
      <c r="L2" s="282"/>
      <c r="M2" s="282"/>
      <c r="N2" s="11"/>
      <c r="O2" s="11"/>
      <c r="P2" s="11"/>
      <c r="Q2" s="11"/>
      <c r="R2" s="11"/>
      <c r="S2" s="11"/>
      <c r="T2" s="11"/>
      <c r="U2" s="11"/>
      <c r="BF2" s="283"/>
      <c r="BG2" s="283"/>
    </row>
    <row r="3" spans="1:59" s="39" customFormat="1" ht="18" customHeight="1">
      <c r="A3" s="328" t="str">
        <f>Report_Date</f>
        <v>Juin 2013</v>
      </c>
      <c r="B3" s="328"/>
      <c r="C3" s="328"/>
      <c r="D3" s="182"/>
      <c r="E3" s="182"/>
      <c r="F3" s="182"/>
      <c r="G3" s="182"/>
      <c r="H3" s="182"/>
      <c r="I3" s="182"/>
      <c r="J3" s="182"/>
      <c r="L3" s="182"/>
      <c r="M3" s="182"/>
      <c r="N3" s="182"/>
      <c r="O3" s="182"/>
      <c r="P3" s="182"/>
      <c r="Q3" s="182"/>
      <c r="R3" s="182"/>
      <c r="S3" s="284"/>
      <c r="T3" s="182"/>
      <c r="U3" s="182"/>
      <c r="BF3" s="284"/>
      <c r="BG3" s="284"/>
    </row>
    <row r="4" spans="1:19" ht="15" customHeight="1">
      <c r="A4" s="15" t="s">
        <v>451</v>
      </c>
      <c r="B4" s="11" t="s">
        <v>434</v>
      </c>
      <c r="C4" s="11" t="s">
        <v>817</v>
      </c>
      <c r="S4" s="12"/>
    </row>
    <row r="5" spans="18:19" ht="15" customHeight="1">
      <c r="R5" s="238"/>
      <c r="S5" s="12"/>
    </row>
    <row r="6" spans="1:43" ht="15">
      <c r="A6" s="15" t="s">
        <v>809</v>
      </c>
      <c r="B6" s="15" t="s">
        <v>811</v>
      </c>
      <c r="C6" s="15" t="s">
        <v>813</v>
      </c>
      <c r="D6" s="15" t="s">
        <v>812</v>
      </c>
      <c r="E6"/>
      <c r="F6"/>
      <c r="P6" s="15" t="s">
        <v>451</v>
      </c>
      <c r="Q6" s="11" t="s">
        <v>434</v>
      </c>
      <c r="R6" s="238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1:43" ht="15">
      <c r="A7" s="264" t="s">
        <v>1077</v>
      </c>
      <c r="B7" s="265">
        <v>20</v>
      </c>
      <c r="C7" s="265">
        <v>0</v>
      </c>
      <c r="D7" s="265">
        <v>0</v>
      </c>
      <c r="E7"/>
      <c r="F7"/>
      <c r="P7" s="11" t="s">
        <v>1061</v>
      </c>
      <c r="Q7" s="11" t="s">
        <v>1076</v>
      </c>
      <c r="R7" s="11" t="s">
        <v>817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ht="15">
      <c r="A8" s="266" t="s">
        <v>461</v>
      </c>
      <c r="B8" s="265">
        <v>2</v>
      </c>
      <c r="C8" s="265">
        <v>0</v>
      </c>
      <c r="D8" s="265">
        <v>0</v>
      </c>
      <c r="E8"/>
      <c r="F8"/>
      <c r="R8" s="23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26" ht="15">
      <c r="A9" s="266" t="s">
        <v>460</v>
      </c>
      <c r="B9" s="265">
        <v>18</v>
      </c>
      <c r="C9" s="265">
        <v>0</v>
      </c>
      <c r="D9" s="265">
        <v>0</v>
      </c>
      <c r="E9"/>
      <c r="F9"/>
      <c r="P9" s="15" t="s">
        <v>809</v>
      </c>
      <c r="Q9" s="11" t="s">
        <v>812</v>
      </c>
      <c r="R9" s="238"/>
      <c r="Z9"/>
    </row>
    <row r="10" spans="1:26" ht="15">
      <c r="A10" s="264" t="s">
        <v>1076</v>
      </c>
      <c r="B10" s="265">
        <v>76</v>
      </c>
      <c r="C10" s="265">
        <v>24119</v>
      </c>
      <c r="D10" s="265">
        <v>139416</v>
      </c>
      <c r="E10"/>
      <c r="F10"/>
      <c r="P10" s="13" t="s">
        <v>460</v>
      </c>
      <c r="Q10" s="14">
        <v>89880</v>
      </c>
      <c r="R10" s="238"/>
      <c r="Z10"/>
    </row>
    <row r="11" spans="1:26" ht="15">
      <c r="A11" s="244" t="s">
        <v>458</v>
      </c>
      <c r="B11" s="265">
        <v>2</v>
      </c>
      <c r="C11" s="265">
        <v>491</v>
      </c>
      <c r="D11" s="265">
        <v>1849</v>
      </c>
      <c r="E11"/>
      <c r="F11"/>
      <c r="P11" s="13" t="s">
        <v>455</v>
      </c>
      <c r="Q11" s="14">
        <v>19976</v>
      </c>
      <c r="R11" s="238"/>
      <c r="Z11"/>
    </row>
    <row r="12" spans="1:26" ht="15">
      <c r="A12" s="244" t="s">
        <v>456</v>
      </c>
      <c r="B12" s="265">
        <v>11</v>
      </c>
      <c r="C12" s="265">
        <v>998</v>
      </c>
      <c r="D12" s="265">
        <v>6418</v>
      </c>
      <c r="E12"/>
      <c r="F12"/>
      <c r="P12" s="13" t="s">
        <v>456</v>
      </c>
      <c r="Q12" s="14">
        <v>6418</v>
      </c>
      <c r="R12" s="238"/>
      <c r="Z12"/>
    </row>
    <row r="13" spans="1:26" ht="15">
      <c r="A13" s="244" t="s">
        <v>461</v>
      </c>
      <c r="B13" s="265">
        <v>14</v>
      </c>
      <c r="C13" s="265">
        <v>566</v>
      </c>
      <c r="D13" s="265">
        <v>3569</v>
      </c>
      <c r="E13"/>
      <c r="F13"/>
      <c r="P13" s="13" t="s">
        <v>452</v>
      </c>
      <c r="Q13" s="14">
        <v>5152</v>
      </c>
      <c r="R13" s="238"/>
      <c r="Z13"/>
    </row>
    <row r="14" spans="1:26" ht="15">
      <c r="A14" s="244" t="s">
        <v>454</v>
      </c>
      <c r="B14" s="265">
        <v>2</v>
      </c>
      <c r="C14" s="265">
        <v>749</v>
      </c>
      <c r="D14" s="265">
        <v>4169</v>
      </c>
      <c r="E14"/>
      <c r="F14"/>
      <c r="P14" s="13" t="s">
        <v>454</v>
      </c>
      <c r="Q14" s="14">
        <v>4169</v>
      </c>
      <c r="R14" s="238"/>
      <c r="Z14"/>
    </row>
    <row r="15" spans="1:26" ht="15">
      <c r="A15" s="244" t="s">
        <v>452</v>
      </c>
      <c r="B15" s="265">
        <v>8</v>
      </c>
      <c r="C15" s="265">
        <v>872</v>
      </c>
      <c r="D15" s="265">
        <v>5152</v>
      </c>
      <c r="E15"/>
      <c r="F15"/>
      <c r="P15" s="13" t="s">
        <v>453</v>
      </c>
      <c r="Q15" s="14">
        <v>4135</v>
      </c>
      <c r="R15" s="238"/>
      <c r="Z15"/>
    </row>
    <row r="16" spans="1:26" ht="15">
      <c r="A16" s="244" t="s">
        <v>453</v>
      </c>
      <c r="B16" s="265">
        <v>4</v>
      </c>
      <c r="C16" s="265">
        <v>643</v>
      </c>
      <c r="D16" s="265">
        <v>4135</v>
      </c>
      <c r="E16"/>
      <c r="F16"/>
      <c r="P16" s="13" t="s">
        <v>457</v>
      </c>
      <c r="Q16" s="14">
        <v>4008</v>
      </c>
      <c r="R16" s="238"/>
      <c r="Z16"/>
    </row>
    <row r="17" spans="1:26" ht="15">
      <c r="A17" s="244" t="s">
        <v>455</v>
      </c>
      <c r="B17" s="265">
        <v>6</v>
      </c>
      <c r="C17" s="265">
        <v>3736</v>
      </c>
      <c r="D17" s="265">
        <v>19976</v>
      </c>
      <c r="E17"/>
      <c r="F17"/>
      <c r="P17" s="13" t="s">
        <v>461</v>
      </c>
      <c r="Q17" s="14">
        <v>3569</v>
      </c>
      <c r="R17" s="238"/>
      <c r="Z17"/>
    </row>
    <row r="18" spans="1:26" ht="15">
      <c r="A18" s="244" t="s">
        <v>459</v>
      </c>
      <c r="B18" s="265">
        <v>2</v>
      </c>
      <c r="C18" s="265">
        <v>43</v>
      </c>
      <c r="D18" s="265">
        <v>260</v>
      </c>
      <c r="E18"/>
      <c r="F18"/>
      <c r="P18" s="13" t="s">
        <v>458</v>
      </c>
      <c r="Q18" s="14">
        <v>1849</v>
      </c>
      <c r="R18" s="238"/>
      <c r="Z18"/>
    </row>
    <row r="19" spans="1:26" ht="15">
      <c r="A19" s="244" t="s">
        <v>457</v>
      </c>
      <c r="B19" s="265">
        <v>4</v>
      </c>
      <c r="C19" s="265">
        <v>769</v>
      </c>
      <c r="D19" s="265">
        <v>4008</v>
      </c>
      <c r="E19"/>
      <c r="F19"/>
      <c r="P19" s="13" t="s">
        <v>459</v>
      </c>
      <c r="Q19" s="14">
        <v>260</v>
      </c>
      <c r="R19" s="238"/>
      <c r="Z19"/>
    </row>
    <row r="20" spans="1:26" ht="15">
      <c r="A20" s="244" t="s">
        <v>460</v>
      </c>
      <c r="B20" s="265">
        <v>23</v>
      </c>
      <c r="C20" s="265">
        <v>15252</v>
      </c>
      <c r="D20" s="265">
        <v>89880</v>
      </c>
      <c r="P20" s="16" t="s">
        <v>810</v>
      </c>
      <c r="Q20" s="17">
        <v>139416</v>
      </c>
      <c r="R20" s="238"/>
      <c r="Z20"/>
    </row>
    <row r="21" spans="1:26" ht="15">
      <c r="A21" s="267" t="s">
        <v>810</v>
      </c>
      <c r="B21" s="268">
        <v>96</v>
      </c>
      <c r="C21" s="268">
        <v>24119</v>
      </c>
      <c r="D21" s="268">
        <v>139416</v>
      </c>
      <c r="P21"/>
      <c r="Q21"/>
      <c r="Z21"/>
    </row>
    <row r="22" spans="1:17" ht="15">
      <c r="A22"/>
      <c r="B22"/>
      <c r="C22"/>
      <c r="D22"/>
      <c r="P22"/>
      <c r="Q22"/>
    </row>
    <row r="23" spans="1:17" ht="15">
      <c r="A23"/>
      <c r="B23"/>
      <c r="C23"/>
      <c r="D23"/>
      <c r="P23"/>
      <c r="Q23"/>
    </row>
    <row r="24" spans="1:17" ht="15">
      <c r="A24" s="15" t="s">
        <v>451</v>
      </c>
      <c r="B24" s="11" t="s">
        <v>433</v>
      </c>
      <c r="C24" s="11" t="s">
        <v>817</v>
      </c>
      <c r="P24"/>
      <c r="Q24"/>
    </row>
    <row r="25" spans="16:17" ht="15">
      <c r="P25"/>
      <c r="Q25"/>
    </row>
    <row r="26" spans="1:18" ht="15">
      <c r="A26" s="15" t="s">
        <v>809</v>
      </c>
      <c r="B26" s="15" t="s">
        <v>811</v>
      </c>
      <c r="C26" s="15" t="s">
        <v>813</v>
      </c>
      <c r="D26" s="15" t="s">
        <v>812</v>
      </c>
      <c r="P26" s="15" t="s">
        <v>451</v>
      </c>
      <c r="Q26" s="11" t="s">
        <v>433</v>
      </c>
      <c r="R26" s="11" t="s">
        <v>817</v>
      </c>
    </row>
    <row r="27" spans="1:24" ht="15">
      <c r="A27" s="264" t="s">
        <v>1076</v>
      </c>
      <c r="B27" s="265">
        <v>164</v>
      </c>
      <c r="C27" s="265">
        <v>18157.6</v>
      </c>
      <c r="D27" s="265">
        <v>82990</v>
      </c>
      <c r="W27"/>
      <c r="X27"/>
    </row>
    <row r="28" spans="1:24" ht="15">
      <c r="A28" s="244" t="s">
        <v>7</v>
      </c>
      <c r="B28" s="265">
        <v>13</v>
      </c>
      <c r="C28" s="265">
        <v>1276</v>
      </c>
      <c r="D28" s="265">
        <v>5768</v>
      </c>
      <c r="G28"/>
      <c r="H28"/>
      <c r="I28"/>
      <c r="J28"/>
      <c r="P28" s="15" t="s">
        <v>809</v>
      </c>
      <c r="Q28" s="11" t="s">
        <v>812</v>
      </c>
      <c r="R28"/>
      <c r="W28"/>
      <c r="X28"/>
    </row>
    <row r="29" spans="1:24" ht="15">
      <c r="A29" s="244" t="s">
        <v>29</v>
      </c>
      <c r="B29" s="265">
        <v>6</v>
      </c>
      <c r="C29" s="265">
        <v>95.4</v>
      </c>
      <c r="D29" s="265">
        <v>830</v>
      </c>
      <c r="G29"/>
      <c r="H29"/>
      <c r="I29"/>
      <c r="J29"/>
      <c r="P29" s="13" t="s">
        <v>316</v>
      </c>
      <c r="Q29" s="14">
        <v>26775</v>
      </c>
      <c r="R29"/>
      <c r="W29"/>
      <c r="X29"/>
    </row>
    <row r="30" spans="1:24" ht="15">
      <c r="A30" s="244" t="s">
        <v>41</v>
      </c>
      <c r="B30" s="265">
        <v>23</v>
      </c>
      <c r="C30" s="265">
        <v>1330</v>
      </c>
      <c r="D30" s="265">
        <v>5069</v>
      </c>
      <c r="G30"/>
      <c r="H30"/>
      <c r="I30"/>
      <c r="J30"/>
      <c r="P30" s="13" t="s">
        <v>189</v>
      </c>
      <c r="Q30" s="14">
        <v>25037</v>
      </c>
      <c r="R30"/>
      <c r="W30"/>
      <c r="X30"/>
    </row>
    <row r="31" spans="1:24" ht="15">
      <c r="A31" s="244" t="s">
        <v>412</v>
      </c>
      <c r="B31" s="265">
        <v>1</v>
      </c>
      <c r="C31" s="265">
        <v>0</v>
      </c>
      <c r="D31" s="265">
        <v>0</v>
      </c>
      <c r="G31"/>
      <c r="H31"/>
      <c r="I31"/>
      <c r="J31"/>
      <c r="P31" s="13" t="s">
        <v>155</v>
      </c>
      <c r="Q31" s="14">
        <v>7286</v>
      </c>
      <c r="R31"/>
      <c r="W31"/>
      <c r="X31"/>
    </row>
    <row r="32" spans="1:24" ht="15">
      <c r="A32" s="244" t="s">
        <v>148</v>
      </c>
      <c r="B32" s="265">
        <v>1</v>
      </c>
      <c r="C32" s="265">
        <v>22</v>
      </c>
      <c r="D32" s="265">
        <v>107</v>
      </c>
      <c r="G32"/>
      <c r="H32"/>
      <c r="I32"/>
      <c r="J32"/>
      <c r="P32" s="13" t="s">
        <v>241</v>
      </c>
      <c r="Q32" s="14">
        <v>6480</v>
      </c>
      <c r="R32"/>
      <c r="W32"/>
      <c r="X32"/>
    </row>
    <row r="33" spans="1:24" ht="15">
      <c r="A33" s="244" t="s">
        <v>150</v>
      </c>
      <c r="B33" s="265">
        <v>8</v>
      </c>
      <c r="C33" s="265">
        <v>148</v>
      </c>
      <c r="D33" s="265">
        <v>571</v>
      </c>
      <c r="G33"/>
      <c r="H33"/>
      <c r="I33"/>
      <c r="J33"/>
      <c r="P33" s="13" t="s">
        <v>41</v>
      </c>
      <c r="Q33" s="14">
        <v>5872</v>
      </c>
      <c r="R33"/>
      <c r="W33"/>
      <c r="X33"/>
    </row>
    <row r="34" spans="1:24" ht="15">
      <c r="A34" s="244" t="s">
        <v>155</v>
      </c>
      <c r="B34" s="265">
        <v>11</v>
      </c>
      <c r="C34" s="265">
        <v>1551.2</v>
      </c>
      <c r="D34" s="265">
        <v>7286</v>
      </c>
      <c r="G34"/>
      <c r="H34"/>
      <c r="I34"/>
      <c r="J34"/>
      <c r="P34" s="13" t="s">
        <v>7</v>
      </c>
      <c r="Q34" s="14">
        <v>5768</v>
      </c>
      <c r="R34"/>
      <c r="W34"/>
      <c r="X34"/>
    </row>
    <row r="35" spans="1:24" ht="15">
      <c r="A35" s="244" t="s">
        <v>170</v>
      </c>
      <c r="B35" s="265">
        <v>3</v>
      </c>
      <c r="C35" s="265">
        <v>53</v>
      </c>
      <c r="D35" s="265">
        <v>260</v>
      </c>
      <c r="G35"/>
      <c r="H35"/>
      <c r="I35"/>
      <c r="J35"/>
      <c r="P35" s="13" t="s">
        <v>308</v>
      </c>
      <c r="Q35" s="14">
        <v>2153</v>
      </c>
      <c r="R35"/>
      <c r="W35"/>
      <c r="X35"/>
    </row>
    <row r="36" spans="1:24" ht="15">
      <c r="A36" s="244" t="s">
        <v>177</v>
      </c>
      <c r="B36" s="265">
        <v>3</v>
      </c>
      <c r="C36" s="265">
        <v>45</v>
      </c>
      <c r="D36" s="265">
        <v>188</v>
      </c>
      <c r="G36"/>
      <c r="H36"/>
      <c r="I36"/>
      <c r="J36"/>
      <c r="P36" s="13" t="s">
        <v>294</v>
      </c>
      <c r="Q36" s="14">
        <v>1367</v>
      </c>
      <c r="R36"/>
      <c r="W36"/>
      <c r="X36"/>
    </row>
    <row r="37" spans="1:24" ht="15">
      <c r="A37" s="244" t="s">
        <v>184</v>
      </c>
      <c r="B37" s="265">
        <v>3</v>
      </c>
      <c r="C37" s="265">
        <v>34</v>
      </c>
      <c r="D37" s="265">
        <v>143</v>
      </c>
      <c r="G37"/>
      <c r="H37"/>
      <c r="I37"/>
      <c r="J37"/>
      <c r="P37" s="13" t="s">
        <v>234</v>
      </c>
      <c r="Q37" s="14">
        <v>882</v>
      </c>
      <c r="R37"/>
      <c r="W37"/>
      <c r="X37"/>
    </row>
    <row r="38" spans="1:24" ht="15">
      <c r="A38" s="244" t="s">
        <v>189</v>
      </c>
      <c r="B38" s="265">
        <v>25</v>
      </c>
      <c r="C38" s="265">
        <v>5355</v>
      </c>
      <c r="D38" s="265">
        <v>25037</v>
      </c>
      <c r="G38"/>
      <c r="H38"/>
      <c r="I38"/>
      <c r="J38"/>
      <c r="P38" s="13" t="s">
        <v>29</v>
      </c>
      <c r="Q38" s="14">
        <v>830</v>
      </c>
      <c r="R38"/>
      <c r="W38"/>
      <c r="X38"/>
    </row>
    <row r="39" spans="1:24" ht="15">
      <c r="A39" s="244" t="s">
        <v>234</v>
      </c>
      <c r="B39" s="265">
        <v>4</v>
      </c>
      <c r="C39" s="265">
        <v>208</v>
      </c>
      <c r="D39" s="265">
        <v>882</v>
      </c>
      <c r="G39"/>
      <c r="H39"/>
      <c r="I39"/>
      <c r="J39"/>
      <c r="P39" s="13" t="s">
        <v>150</v>
      </c>
      <c r="Q39" s="14">
        <v>571</v>
      </c>
      <c r="R39"/>
      <c r="W39"/>
      <c r="X39"/>
    </row>
    <row r="40" spans="1:24" ht="15">
      <c r="A40" s="244" t="s">
        <v>241</v>
      </c>
      <c r="B40" s="265">
        <v>25</v>
      </c>
      <c r="C40" s="265">
        <v>1434</v>
      </c>
      <c r="D40" s="265">
        <v>6480</v>
      </c>
      <c r="G40"/>
      <c r="H40"/>
      <c r="I40"/>
      <c r="J40"/>
      <c r="P40" s="13" t="s">
        <v>170</v>
      </c>
      <c r="Q40" s="14">
        <v>260</v>
      </c>
      <c r="R40"/>
      <c r="W40"/>
      <c r="X40"/>
    </row>
    <row r="41" spans="1:24" ht="15">
      <c r="A41" s="244" t="s">
        <v>294</v>
      </c>
      <c r="B41" s="265">
        <v>7</v>
      </c>
      <c r="C41" s="265">
        <v>284</v>
      </c>
      <c r="D41" s="265">
        <v>1367</v>
      </c>
      <c r="G41"/>
      <c r="H41"/>
      <c r="I41"/>
      <c r="J41"/>
      <c r="P41" s="13" t="s">
        <v>177</v>
      </c>
      <c r="Q41" s="14">
        <v>188</v>
      </c>
      <c r="R41"/>
      <c r="W41"/>
      <c r="X41"/>
    </row>
    <row r="42" spans="1:24" ht="15">
      <c r="A42" s="244" t="s">
        <v>303</v>
      </c>
      <c r="B42" s="265">
        <v>1</v>
      </c>
      <c r="C42" s="265">
        <v>18</v>
      </c>
      <c r="D42" s="265">
        <v>74</v>
      </c>
      <c r="P42" s="13" t="s">
        <v>184</v>
      </c>
      <c r="Q42" s="14">
        <v>143</v>
      </c>
      <c r="R42"/>
      <c r="W42"/>
      <c r="X42"/>
    </row>
    <row r="43" spans="1:24" ht="15">
      <c r="A43" s="244" t="s">
        <v>306</v>
      </c>
      <c r="B43" s="265">
        <v>1</v>
      </c>
      <c r="C43" s="265">
        <v>0</v>
      </c>
      <c r="D43" s="265">
        <v>0</v>
      </c>
      <c r="P43" s="13" t="s">
        <v>148</v>
      </c>
      <c r="Q43" s="14">
        <v>107</v>
      </c>
      <c r="R43"/>
      <c r="W43"/>
      <c r="X43"/>
    </row>
    <row r="44" spans="1:24" ht="15">
      <c r="A44" s="244" t="s">
        <v>308</v>
      </c>
      <c r="B44" s="265">
        <v>4</v>
      </c>
      <c r="C44" s="265">
        <v>535</v>
      </c>
      <c r="D44" s="265">
        <v>2153</v>
      </c>
      <c r="P44" s="13" t="s">
        <v>303</v>
      </c>
      <c r="Q44" s="14">
        <v>74</v>
      </c>
      <c r="W44"/>
      <c r="X44"/>
    </row>
    <row r="45" spans="1:24" ht="15">
      <c r="A45" s="244" t="s">
        <v>316</v>
      </c>
      <c r="B45" s="265">
        <v>25</v>
      </c>
      <c r="C45" s="265">
        <v>5769</v>
      </c>
      <c r="D45" s="265">
        <v>26775</v>
      </c>
      <c r="P45" s="13" t="s">
        <v>412</v>
      </c>
      <c r="Q45" s="14">
        <v>0</v>
      </c>
      <c r="W45"/>
      <c r="X45"/>
    </row>
    <row r="46" spans="1:24" ht="15">
      <c r="A46" s="264" t="s">
        <v>1330</v>
      </c>
      <c r="B46" s="265">
        <v>34</v>
      </c>
      <c r="C46" s="265">
        <v>181</v>
      </c>
      <c r="D46" s="265">
        <v>803</v>
      </c>
      <c r="P46" s="13" t="s">
        <v>306</v>
      </c>
      <c r="Q46" s="14">
        <v>0</v>
      </c>
      <c r="W46"/>
      <c r="X46"/>
    </row>
    <row r="47" spans="1:24" ht="15">
      <c r="A47" s="244" t="s">
        <v>41</v>
      </c>
      <c r="B47" s="265">
        <v>31</v>
      </c>
      <c r="C47" s="265">
        <v>181</v>
      </c>
      <c r="D47" s="265">
        <v>803</v>
      </c>
      <c r="P47" s="16" t="s">
        <v>810</v>
      </c>
      <c r="Q47" s="17">
        <v>83793</v>
      </c>
      <c r="W47"/>
      <c r="X47"/>
    </row>
    <row r="48" spans="1:24" ht="15">
      <c r="A48" s="244" t="s">
        <v>316</v>
      </c>
      <c r="B48" s="265">
        <v>3</v>
      </c>
      <c r="C48" s="265">
        <v>0</v>
      </c>
      <c r="D48" s="265">
        <v>0</v>
      </c>
      <c r="P48"/>
      <c r="Q48"/>
      <c r="W48"/>
      <c r="X48"/>
    </row>
    <row r="49" spans="1:24" ht="15">
      <c r="A49" s="267" t="s">
        <v>810</v>
      </c>
      <c r="B49" s="268">
        <v>198</v>
      </c>
      <c r="C49" s="268">
        <v>18338.6</v>
      </c>
      <c r="D49" s="268">
        <v>83793</v>
      </c>
      <c r="W49"/>
      <c r="X49"/>
    </row>
    <row r="50" spans="23:24" ht="15">
      <c r="W50"/>
      <c r="X50"/>
    </row>
    <row r="51" spans="23:24" ht="15">
      <c r="W51"/>
      <c r="X51"/>
    </row>
    <row r="52" spans="23:24" ht="15">
      <c r="W52"/>
      <c r="X52"/>
    </row>
    <row r="53" spans="23:24" ht="15">
      <c r="W53"/>
      <c r="X53"/>
    </row>
    <row r="54" spans="23:24" ht="15">
      <c r="W54"/>
      <c r="X54"/>
    </row>
    <row r="55" spans="23:24" ht="15">
      <c r="W55"/>
      <c r="X55"/>
    </row>
    <row r="56" spans="23:24" ht="15">
      <c r="W56"/>
      <c r="X56"/>
    </row>
    <row r="57" spans="23:24" ht="15">
      <c r="W57"/>
      <c r="X57"/>
    </row>
    <row r="58" spans="23:24" ht="15">
      <c r="W58"/>
      <c r="X58"/>
    </row>
    <row r="59" spans="23:24" ht="15">
      <c r="W59"/>
      <c r="X59"/>
    </row>
    <row r="60" spans="23:24" ht="15">
      <c r="W60"/>
      <c r="X60"/>
    </row>
    <row r="61" spans="23:24" ht="15">
      <c r="W61"/>
      <c r="X61"/>
    </row>
    <row r="62" spans="23:24" ht="15">
      <c r="W62"/>
      <c r="X62"/>
    </row>
    <row r="63" spans="23:24" ht="15">
      <c r="W63"/>
      <c r="X63"/>
    </row>
    <row r="64" spans="23:24" ht="15">
      <c r="W64"/>
      <c r="X64"/>
    </row>
    <row r="65" spans="23:24" ht="15">
      <c r="W65"/>
      <c r="X65"/>
    </row>
    <row r="66" spans="23:24" ht="15">
      <c r="W66"/>
      <c r="X66"/>
    </row>
    <row r="67" spans="23:24" ht="15">
      <c r="W67"/>
      <c r="X67"/>
    </row>
    <row r="68" spans="23:24" ht="15">
      <c r="W68"/>
      <c r="X68"/>
    </row>
    <row r="69" spans="23:24" ht="15">
      <c r="W69"/>
      <c r="X69"/>
    </row>
    <row r="70" spans="23:24" ht="15">
      <c r="W70"/>
      <c r="X70"/>
    </row>
    <row r="71" spans="23:24" ht="15">
      <c r="W71"/>
      <c r="X71"/>
    </row>
    <row r="72" spans="23:24" ht="15">
      <c r="W72"/>
      <c r="X72"/>
    </row>
    <row r="73" spans="23:24" ht="15">
      <c r="W73"/>
      <c r="X73"/>
    </row>
    <row r="74" spans="23:24" ht="15">
      <c r="W74"/>
      <c r="X74"/>
    </row>
    <row r="75" spans="23:24" ht="15">
      <c r="W75"/>
      <c r="X75"/>
    </row>
    <row r="76" spans="23:24" ht="15">
      <c r="W76"/>
      <c r="X76"/>
    </row>
    <row r="77" spans="23:24" ht="15">
      <c r="W77"/>
      <c r="X77"/>
    </row>
    <row r="78" spans="23:24" ht="15">
      <c r="W78"/>
      <c r="X78"/>
    </row>
    <row r="79" spans="23:24" ht="15">
      <c r="W79"/>
      <c r="X79"/>
    </row>
    <row r="80" spans="23:24" ht="15">
      <c r="W80"/>
      <c r="X80"/>
    </row>
    <row r="81" spans="23:24" ht="15">
      <c r="W81"/>
      <c r="X81"/>
    </row>
    <row r="82" spans="23:24" ht="15">
      <c r="W82"/>
      <c r="X82"/>
    </row>
    <row r="83" spans="23:24" ht="15">
      <c r="W83"/>
      <c r="X83"/>
    </row>
    <row r="84" spans="23:24" ht="15">
      <c r="W84"/>
      <c r="X84"/>
    </row>
    <row r="85" spans="23:24" ht="15">
      <c r="W85"/>
      <c r="X85"/>
    </row>
    <row r="86" spans="23:24" ht="15">
      <c r="W86"/>
      <c r="X86"/>
    </row>
    <row r="87" spans="23:24" ht="15">
      <c r="W87"/>
      <c r="X87"/>
    </row>
    <row r="88" spans="23:24" ht="15">
      <c r="W88"/>
      <c r="X88"/>
    </row>
    <row r="89" spans="23:24" ht="15">
      <c r="W89"/>
      <c r="X89"/>
    </row>
    <row r="90" spans="23:24" ht="15">
      <c r="W90"/>
      <c r="X90"/>
    </row>
    <row r="91" spans="23:24" ht="15">
      <c r="W91"/>
      <c r="X91"/>
    </row>
    <row r="92" spans="23:24" ht="15">
      <c r="W92"/>
      <c r="X92"/>
    </row>
    <row r="93" spans="23:24" ht="15">
      <c r="W93"/>
      <c r="X93"/>
    </row>
    <row r="94" spans="23:24" ht="15">
      <c r="W94"/>
      <c r="X94"/>
    </row>
    <row r="95" spans="23:24" ht="15">
      <c r="W95"/>
      <c r="X95"/>
    </row>
    <row r="96" spans="23:24" ht="15">
      <c r="W96"/>
      <c r="X96"/>
    </row>
    <row r="97" spans="23:24" ht="15">
      <c r="W97"/>
      <c r="X97"/>
    </row>
    <row r="98" spans="23:24" ht="15">
      <c r="W98"/>
      <c r="X98"/>
    </row>
    <row r="99" spans="23:24" ht="15">
      <c r="W99"/>
      <c r="X99"/>
    </row>
    <row r="100" spans="23:24" ht="15">
      <c r="W100"/>
      <c r="X100"/>
    </row>
  </sheetData>
  <mergeCells count="2">
    <mergeCell ref="A2:F2"/>
    <mergeCell ref="A3:C3"/>
  </mergeCells>
  <printOptions/>
  <pageMargins left="0" right="0" top="0" bottom="0" header="0.3" footer="0.3"/>
  <pageSetup fitToWidth="0" fitToHeight="1" horizontalDpi="600" verticalDpi="600" orientation="landscape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G97"/>
  <sheetViews>
    <sheetView showZeros="0" tabSelected="1" zoomScale="60" zoomScaleNormal="60" zoomScalePageLayoutView="75" workbookViewId="0" topLeftCell="A1">
      <selection activeCell="AA16" sqref="AA16"/>
    </sheetView>
  </sheetViews>
  <sheetFormatPr defaultColWidth="9.140625" defaultRowHeight="15"/>
  <cols>
    <col min="1" max="1" width="3.00390625" style="0" customWidth="1"/>
    <col min="2" max="2" width="6.8515625" style="0" customWidth="1"/>
    <col min="3" max="3" width="9.140625" style="0" customWidth="1"/>
    <col min="4" max="4" width="15.140625" style="0" customWidth="1"/>
    <col min="6" max="6" width="7.8515625" style="0" customWidth="1"/>
    <col min="7" max="7" width="12.00390625" style="0" customWidth="1"/>
    <col min="8" max="8" width="8.57421875" style="0" customWidth="1"/>
    <col min="9" max="9" width="12.57421875" style="0" customWidth="1"/>
    <col min="10" max="10" width="12.421875" style="0" customWidth="1"/>
    <col min="11" max="11" width="9.7109375" style="0" customWidth="1"/>
    <col min="12" max="12" width="9.140625" style="0" hidden="1" customWidth="1"/>
    <col min="20" max="20" width="12.57421875" style="0" customWidth="1"/>
    <col min="21" max="21" width="13.00390625" style="0" customWidth="1"/>
    <col min="22" max="22" width="11.28125" style="0" customWidth="1"/>
    <col min="23" max="23" width="10.140625" style="0" customWidth="1"/>
    <col min="24" max="24" width="9.7109375" style="0" customWidth="1"/>
    <col min="25" max="25" width="10.00390625" style="0" customWidth="1"/>
    <col min="26" max="26" width="12.57421875" style="0" customWidth="1"/>
    <col min="27" max="27" width="25.421875" style="0" customWidth="1"/>
    <col min="28" max="28" width="48.140625" style="0" customWidth="1"/>
    <col min="29" max="29" width="11.140625" style="0" customWidth="1"/>
    <col min="30" max="30" width="6.57421875" style="0" customWidth="1"/>
    <col min="31" max="31" width="14.7109375" style="0" customWidth="1"/>
    <col min="32" max="32" width="11.00390625" style="0" customWidth="1"/>
  </cols>
  <sheetData>
    <row r="1" spans="1:59" s="2" customFormat="1" ht="36">
      <c r="A1" s="329"/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238"/>
      <c r="BF1" s="283"/>
      <c r="BG1" s="283"/>
    </row>
    <row r="2" spans="1:59" s="2" customFormat="1" ht="36">
      <c r="A2" s="329" t="s">
        <v>1267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238"/>
      <c r="BF2" s="283"/>
      <c r="BG2" s="283"/>
    </row>
    <row r="3" spans="1:59" s="39" customFormat="1" ht="18" customHeight="1">
      <c r="A3" s="328" t="str">
        <f>Report_Date</f>
        <v>Juin 2013</v>
      </c>
      <c r="B3" s="328"/>
      <c r="C3" s="328"/>
      <c r="D3" s="182"/>
      <c r="E3" s="182"/>
      <c r="F3" s="182"/>
      <c r="G3" s="182"/>
      <c r="H3" s="182"/>
      <c r="I3" s="182"/>
      <c r="J3" s="182"/>
      <c r="L3" s="182"/>
      <c r="M3" s="182"/>
      <c r="N3" s="182"/>
      <c r="O3" s="182"/>
      <c r="P3" s="182"/>
      <c r="Q3" s="182"/>
      <c r="R3" s="182"/>
      <c r="S3" s="284"/>
      <c r="T3" s="182"/>
      <c r="U3" s="182"/>
      <c r="BF3" s="284"/>
      <c r="BG3" s="284"/>
    </row>
    <row r="4" ht="15">
      <c r="W4" s="245" t="s">
        <v>837</v>
      </c>
    </row>
    <row r="6" spans="21:39" ht="15">
      <c r="U6" s="39"/>
      <c r="V6" s="39"/>
      <c r="W6" s="39"/>
      <c r="X6" s="40"/>
      <c r="Y6" s="39"/>
      <c r="Z6" s="39"/>
      <c r="AA6" s="39"/>
      <c r="AB6" s="41" t="s">
        <v>838</v>
      </c>
      <c r="AC6" s="11"/>
      <c r="AD6" s="11"/>
      <c r="AM6">
        <f>COUNTA(AK:AK)-1</f>
        <v>-1</v>
      </c>
    </row>
    <row r="7" spans="21:30" ht="15">
      <c r="U7" s="39"/>
      <c r="V7" s="39"/>
      <c r="W7" s="39"/>
      <c r="X7" s="42"/>
      <c r="Y7" s="42"/>
      <c r="Z7" s="42"/>
      <c r="AA7" s="39"/>
      <c r="AB7" s="43" t="s">
        <v>839</v>
      </c>
      <c r="AC7" s="44"/>
      <c r="AD7" s="44"/>
    </row>
    <row r="8" spans="21:30" ht="15">
      <c r="U8" s="45" t="s">
        <v>1</v>
      </c>
      <c r="V8" s="45" t="s">
        <v>822</v>
      </c>
      <c r="W8" s="45" t="s">
        <v>823</v>
      </c>
      <c r="X8" s="45" t="s">
        <v>840</v>
      </c>
      <c r="Y8" s="46"/>
      <c r="Z8" s="46"/>
      <c r="AA8" s="39"/>
      <c r="AB8" s="47"/>
      <c r="AC8" s="48"/>
      <c r="AD8" s="48"/>
    </row>
    <row r="9" spans="21:34" ht="23.25">
      <c r="U9" s="45" t="s">
        <v>452</v>
      </c>
      <c r="V9" s="49">
        <f>SUMIFS(Camplist_HH,CampList_Status,"Open",Camplist_Township,Rakhine_CCCM_D!$U9)</f>
        <v>872</v>
      </c>
      <c r="W9" s="49">
        <f>SUMIFS(Camplist_Popl,CampList_Status,"Open",Camplist_Township,Rakhine_CCCM_D!$U9)</f>
        <v>5152</v>
      </c>
      <c r="X9" s="50">
        <f>COUNTIFS(CampList_Status,"Open",Camplist_Township,Rakhine_CCCM_D!U9)</f>
        <v>8</v>
      </c>
      <c r="Y9" s="39"/>
      <c r="Z9" s="39"/>
      <c r="AA9" s="39"/>
      <c r="AH9" s="51"/>
    </row>
    <row r="10" spans="21:39" ht="15">
      <c r="U10" s="45" t="s">
        <v>453</v>
      </c>
      <c r="V10" s="49">
        <f>SUMIFS(Camplist_HH,CampList_Status,"Open",Camplist_Township,Rakhine_CCCM_D!$U10)</f>
        <v>643</v>
      </c>
      <c r="W10" s="49">
        <f>SUMIFS(Camplist_Popl,CampList_Status,"Open",Camplist_Township,Rakhine_CCCM_D!$U10)</f>
        <v>4135</v>
      </c>
      <c r="X10" s="50">
        <f>COUNTIFS(CampList_Status,"Open",Camplist_Township,Rakhine_CCCM_D!U10)</f>
        <v>4</v>
      </c>
      <c r="Y10" s="40"/>
      <c r="Z10" s="40"/>
      <c r="AA10" s="39"/>
      <c r="AH10" s="334"/>
      <c r="AI10" s="334"/>
      <c r="AK10" s="38"/>
      <c r="AL10" s="52"/>
      <c r="AM10" s="52"/>
    </row>
    <row r="11" spans="21:39" ht="15">
      <c r="U11" s="45" t="s">
        <v>454</v>
      </c>
      <c r="V11" s="49">
        <f>SUMIFS(Camplist_HH,CampList_Status,"Open",Camplist_Township,Rakhine_CCCM_D!$U11)</f>
        <v>749</v>
      </c>
      <c r="W11" s="49">
        <f>SUMIFS(Camplist_Popl,CampList_Status,"Open",Camplist_Township,Rakhine_CCCM_D!$U11)</f>
        <v>4169</v>
      </c>
      <c r="X11" s="50">
        <f>COUNTIFS(CampList_Status,"Open",Camplist_Township,Rakhine_CCCM_D!U11)</f>
        <v>2</v>
      </c>
      <c r="Y11" s="53"/>
      <c r="Z11" s="53"/>
      <c r="AA11" s="39"/>
      <c r="AG11" s="54"/>
      <c r="AH11" s="333"/>
      <c r="AI11" s="333"/>
      <c r="AK11" s="55"/>
      <c r="AL11" s="56"/>
      <c r="AM11" s="57"/>
    </row>
    <row r="12" spans="1:39" ht="15.75">
      <c r="A12" s="58"/>
      <c r="B12" s="58"/>
      <c r="C12" s="335"/>
      <c r="D12" s="335"/>
      <c r="E12" s="335"/>
      <c r="F12" s="85"/>
      <c r="G12" s="86"/>
      <c r="H12" s="336" t="s">
        <v>859</v>
      </c>
      <c r="I12" s="336"/>
      <c r="J12" s="336"/>
      <c r="K12" s="336"/>
      <c r="U12" s="45" t="s">
        <v>455</v>
      </c>
      <c r="V12" s="49">
        <f>SUMIFS(Camplist_HH,CampList_Status,"Open",Camplist_Township,Rakhine_CCCM_D!$U12)</f>
        <v>3736</v>
      </c>
      <c r="W12" s="49">
        <f>SUMIFS(Camplist_Popl,CampList_Status,"Open",Camplist_Township,Rakhine_CCCM_D!$U12)</f>
        <v>19976</v>
      </c>
      <c r="X12" s="50">
        <f>COUNTIFS(CampList_Status,"Open",Camplist_Township,Rakhine_CCCM_D!U12)</f>
        <v>6</v>
      </c>
      <c r="Y12" s="39"/>
      <c r="Z12" s="39"/>
      <c r="AA12" s="39"/>
      <c r="AB12" s="39"/>
      <c r="AG12" s="54"/>
      <c r="AH12" s="333"/>
      <c r="AI12" s="333"/>
      <c r="AK12" s="55"/>
      <c r="AL12" s="56"/>
      <c r="AM12" s="57"/>
    </row>
    <row r="13" spans="1:39" ht="15.75" customHeight="1">
      <c r="A13" s="59"/>
      <c r="B13" s="59"/>
      <c r="C13" s="331"/>
      <c r="D13" s="332"/>
      <c r="E13" s="332"/>
      <c r="F13" s="86"/>
      <c r="G13" s="87"/>
      <c r="H13" s="337" t="s">
        <v>860</v>
      </c>
      <c r="I13" s="339" t="s">
        <v>861</v>
      </c>
      <c r="J13" s="341" t="s">
        <v>862</v>
      </c>
      <c r="K13" s="343" t="s">
        <v>863</v>
      </c>
      <c r="U13" s="45" t="s">
        <v>456</v>
      </c>
      <c r="V13" s="49">
        <f>SUMIFS(Camplist_HH,CampList_Status,"Open",Camplist_Township,Rakhine_CCCM_D!$U13)</f>
        <v>998</v>
      </c>
      <c r="W13" s="49">
        <f>SUMIFS(Camplist_Popl,CampList_Status,"Open",Camplist_Township,Rakhine_CCCM_D!$U13)</f>
        <v>6418</v>
      </c>
      <c r="X13" s="50">
        <f>COUNTIFS(CampList_Status,"Open",Camplist_Township,Rakhine_CCCM_D!U13)</f>
        <v>11</v>
      </c>
      <c r="Y13" s="61"/>
      <c r="Z13" s="61"/>
      <c r="AA13" s="39"/>
      <c r="AB13" s="39"/>
      <c r="AG13" s="54"/>
      <c r="AH13" s="333"/>
      <c r="AI13" s="333"/>
      <c r="AK13" s="55"/>
      <c r="AL13" s="56"/>
      <c r="AM13" s="57"/>
    </row>
    <row r="14" spans="1:39" ht="15.75">
      <c r="A14" s="59"/>
      <c r="B14" s="59"/>
      <c r="C14" s="331"/>
      <c r="D14" s="332"/>
      <c r="E14" s="332"/>
      <c r="F14" s="86"/>
      <c r="G14" s="87"/>
      <c r="H14" s="338"/>
      <c r="I14" s="340"/>
      <c r="J14" s="342"/>
      <c r="K14" s="344"/>
      <c r="U14" s="45" t="s">
        <v>457</v>
      </c>
      <c r="V14" s="49">
        <f>SUMIFS(Camplist_HH,CampList_Status,"Open",Camplist_Township,Rakhine_CCCM_D!$U14)</f>
        <v>769</v>
      </c>
      <c r="W14" s="49">
        <f>SUMIFS(Camplist_Popl,CampList_Status,"Open",Camplist_Township,Rakhine_CCCM_D!$U14)</f>
        <v>4008</v>
      </c>
      <c r="X14" s="50">
        <f>COUNTIFS(CampList_Status,"Open",Camplist_Township,Rakhine_CCCM_D!U14)</f>
        <v>4</v>
      </c>
      <c r="Y14" s="42"/>
      <c r="Z14" s="42"/>
      <c r="AA14" s="39"/>
      <c r="AB14" s="39"/>
      <c r="AC14" s="44"/>
      <c r="AD14" s="44"/>
      <c r="AE14" s="44"/>
      <c r="AF14" s="44"/>
      <c r="AG14" s="54"/>
      <c r="AH14" s="333"/>
      <c r="AI14" s="333"/>
      <c r="AK14" s="55"/>
      <c r="AL14" s="56"/>
      <c r="AM14" s="57"/>
    </row>
    <row r="15" spans="1:39" ht="15.75">
      <c r="A15" s="59"/>
      <c r="B15" s="59"/>
      <c r="C15" s="331"/>
      <c r="D15" s="332"/>
      <c r="E15" s="332"/>
      <c r="F15" s="86"/>
      <c r="G15" s="88" t="s">
        <v>811</v>
      </c>
      <c r="H15" s="89">
        <f>V32</f>
        <v>44</v>
      </c>
      <c r="I15" s="89">
        <f>W32</f>
        <v>26</v>
      </c>
      <c r="J15" s="89">
        <f>X32</f>
        <v>2</v>
      </c>
      <c r="K15" s="89">
        <f>Y32</f>
        <v>4</v>
      </c>
      <c r="L15" s="304">
        <f>SUM(H15:K15)</f>
        <v>76</v>
      </c>
      <c r="U15" s="45" t="s">
        <v>458</v>
      </c>
      <c r="V15" s="49">
        <f>SUMIFS(Camplist_HH,CampList_Status,"Open",Camplist_Township,Rakhine_CCCM_D!$U15)</f>
        <v>491</v>
      </c>
      <c r="W15" s="49">
        <f>SUMIFS(Camplist_Popl,CampList_Status,"Open",Camplist_Township,Rakhine_CCCM_D!$U15)</f>
        <v>1849</v>
      </c>
      <c r="X15" s="50">
        <f>COUNTIFS(CampList_Status,"Open",Camplist_Township,Rakhine_CCCM_D!U15)</f>
        <v>2</v>
      </c>
      <c r="Y15" s="42"/>
      <c r="Z15" s="42"/>
      <c r="AA15" s="39"/>
      <c r="AB15" s="39"/>
      <c r="AC15" s="44"/>
      <c r="AD15" s="44"/>
      <c r="AE15" s="44"/>
      <c r="AF15" s="44"/>
      <c r="AG15" s="54"/>
      <c r="AH15" s="333"/>
      <c r="AI15" s="333"/>
      <c r="AK15" s="55"/>
      <c r="AL15" s="56"/>
      <c r="AM15" s="57"/>
    </row>
    <row r="16" spans="1:39" ht="15.75">
      <c r="A16" s="59"/>
      <c r="B16" s="59"/>
      <c r="C16" s="331"/>
      <c r="D16" s="332"/>
      <c r="E16" s="332"/>
      <c r="F16" s="86"/>
      <c r="G16" s="88" t="s">
        <v>864</v>
      </c>
      <c r="H16" s="89">
        <f>V45</f>
        <v>14665</v>
      </c>
      <c r="I16" s="89">
        <f>W45</f>
        <v>57275</v>
      </c>
      <c r="J16" s="89">
        <f>X45</f>
        <v>13098</v>
      </c>
      <c r="K16" s="89">
        <f>Y45</f>
        <v>54378</v>
      </c>
      <c r="L16" s="304">
        <f aca="true" t="shared" si="0" ref="L16:L17">SUM(H16:K16)</f>
        <v>139416</v>
      </c>
      <c r="U16" s="45" t="s">
        <v>459</v>
      </c>
      <c r="V16" s="49">
        <f>SUMIFS(Camplist_HH,CampList_Status,"Open",Camplist_Township,Rakhine_CCCM_D!$U16)</f>
        <v>43</v>
      </c>
      <c r="W16" s="49">
        <f>SUMIFS(Camplist_Popl,CampList_Status,"Open",Camplist_Township,Rakhine_CCCM_D!$U16)</f>
        <v>260</v>
      </c>
      <c r="X16" s="50">
        <f>COUNTIFS(CampList_Status,"Open",Camplist_Township,Rakhine_CCCM_D!U16)</f>
        <v>2</v>
      </c>
      <c r="Y16" s="42"/>
      <c r="Z16" s="42"/>
      <c r="AA16" s="39"/>
      <c r="AB16" s="39"/>
      <c r="AC16" s="44"/>
      <c r="AD16" s="44"/>
      <c r="AE16" s="44"/>
      <c r="AF16" s="44"/>
      <c r="AG16" s="54"/>
      <c r="AH16" s="333"/>
      <c r="AI16" s="333"/>
      <c r="AJ16" s="62"/>
      <c r="AK16" s="63"/>
      <c r="AL16" s="64"/>
      <c r="AM16" s="65"/>
    </row>
    <row r="17" spans="1:32" ht="15.75">
      <c r="A17" s="59"/>
      <c r="B17" s="59"/>
      <c r="C17" s="331"/>
      <c r="D17" s="332"/>
      <c r="E17" s="332"/>
      <c r="F17" s="86"/>
      <c r="G17" s="88" t="s">
        <v>865</v>
      </c>
      <c r="H17" s="90">
        <f>ROUNDUP(H16/$W$19,3)</f>
        <v>0.106</v>
      </c>
      <c r="I17" s="90">
        <f aca="true" t="shared" si="1" ref="I17:K17">ROUNDUP(I16/$W$19,3)</f>
        <v>0.411</v>
      </c>
      <c r="J17" s="90">
        <f t="shared" si="1"/>
        <v>0.094</v>
      </c>
      <c r="K17" s="90">
        <f t="shared" si="1"/>
        <v>0.391</v>
      </c>
      <c r="L17" s="304">
        <f t="shared" si="0"/>
        <v>1.002</v>
      </c>
      <c r="U17" s="45" t="s">
        <v>460</v>
      </c>
      <c r="V17" s="49">
        <f>SUMIFS(Camplist_HH,CampList_Status,"Open",Camplist_Township,Rakhine_CCCM_D!$U17)</f>
        <v>15252</v>
      </c>
      <c r="W17" s="49">
        <f>SUMIFS(Camplist_Popl,CampList_Status,"Open",Camplist_Township,Rakhine_CCCM_D!$U17)</f>
        <v>89880</v>
      </c>
      <c r="X17" s="50">
        <f>COUNTIFS(CampList_Status,"Open",Camplist_Township,Rakhine_CCCM_D!U17)</f>
        <v>23</v>
      </c>
      <c r="Y17" s="42"/>
      <c r="Z17" s="42"/>
      <c r="AA17" s="39"/>
      <c r="AB17" s="39"/>
      <c r="AC17" s="44"/>
      <c r="AD17" s="44"/>
      <c r="AE17" s="44"/>
      <c r="AF17" s="44"/>
    </row>
    <row r="18" spans="1:28" ht="15.75">
      <c r="A18" s="59"/>
      <c r="B18" s="59"/>
      <c r="C18" s="331"/>
      <c r="D18" s="332"/>
      <c r="E18" s="332"/>
      <c r="F18" s="86"/>
      <c r="U18" s="45" t="s">
        <v>461</v>
      </c>
      <c r="V18" s="49">
        <f>SUMIFS(Camplist_HH,CampList_Status,"Open",Camplist_Township,Rakhine_CCCM_D!$U18)</f>
        <v>566</v>
      </c>
      <c r="W18" s="49">
        <f>SUMIFS(Camplist_Popl,CampList_Status,"Open",Camplist_Township,Rakhine_CCCM_D!$U18)</f>
        <v>3569</v>
      </c>
      <c r="X18" s="50">
        <f>COUNTIFS(CampList_Status,"Open",Camplist_Township,Rakhine_CCCM_D!U18)</f>
        <v>14</v>
      </c>
      <c r="Y18" s="42"/>
      <c r="Z18" s="42"/>
      <c r="AA18" s="39"/>
      <c r="AB18" s="39"/>
    </row>
    <row r="19" spans="1:28" ht="15.75">
      <c r="A19" s="59"/>
      <c r="B19" s="59"/>
      <c r="C19" s="331"/>
      <c r="D19" s="332"/>
      <c r="E19" s="332"/>
      <c r="F19" s="86"/>
      <c r="U19" s="45" t="s">
        <v>5</v>
      </c>
      <c r="V19" s="66">
        <f>SUM(V9:V18)</f>
        <v>24119</v>
      </c>
      <c r="W19" s="66">
        <f>SUM(W9:W18)</f>
        <v>139416</v>
      </c>
      <c r="X19" s="66">
        <f>SUM(X9:X18)</f>
        <v>76</v>
      </c>
      <c r="Y19" s="42"/>
      <c r="Z19" s="42"/>
      <c r="AA19" s="39"/>
      <c r="AB19" s="39"/>
    </row>
    <row r="20" spans="1:28" ht="15.75">
      <c r="A20" s="59"/>
      <c r="B20" s="59"/>
      <c r="C20" s="331"/>
      <c r="D20" s="332"/>
      <c r="E20" s="332"/>
      <c r="F20" s="86"/>
      <c r="V20" s="33" t="s">
        <v>866</v>
      </c>
      <c r="W20" s="33"/>
      <c r="X20" s="33"/>
      <c r="Y20" s="42"/>
      <c r="Z20" s="42"/>
      <c r="AA20" s="39"/>
      <c r="AB20" s="39"/>
    </row>
    <row r="21" spans="1:38" ht="15.75">
      <c r="A21" s="59"/>
      <c r="B21" s="59"/>
      <c r="C21" s="331"/>
      <c r="D21" s="332"/>
      <c r="E21" s="332"/>
      <c r="F21" s="86"/>
      <c r="U21" s="45" t="s">
        <v>1</v>
      </c>
      <c r="V21" s="91" t="s">
        <v>860</v>
      </c>
      <c r="W21" s="91" t="s">
        <v>861</v>
      </c>
      <c r="X21" s="91" t="s">
        <v>862</v>
      </c>
      <c r="Y21" s="91" t="s">
        <v>863</v>
      </c>
      <c r="Z21" s="42"/>
      <c r="AA21" s="39"/>
      <c r="AB21" s="39"/>
      <c r="AK21" s="11"/>
      <c r="AL21" s="11"/>
    </row>
    <row r="22" spans="1:38" ht="15.75">
      <c r="A22" s="85"/>
      <c r="B22" s="92"/>
      <c r="C22" s="92"/>
      <c r="D22" s="92"/>
      <c r="E22" s="92"/>
      <c r="F22" s="92"/>
      <c r="U22" s="45" t="s">
        <v>452</v>
      </c>
      <c r="V22" s="84">
        <f>COUNTIFS(Camplist_Township,Rakhine_CCCM_D!$U22,Camplist_Popl,"&gt;0",Camplist_Popl,"&lt;=1000")</f>
        <v>5</v>
      </c>
      <c r="W22" s="91">
        <f>COUNTIFS(Camplist_Township,Rakhine_CCCM_D!$U22,Camplist_Popl,"&gt;1000",Camplist_Popl,"&lt;=5000")</f>
        <v>3</v>
      </c>
      <c r="X22" s="91">
        <f>COUNTIFS(Camplist_Township,Rakhine_CCCM_D!$U22,Camplist_Popl,"&gt;5000",Camplist_Popl,"&lt;=10000")</f>
        <v>0</v>
      </c>
      <c r="Y22" s="91">
        <f>COUNTIFS(Camplist_Township,Rakhine_CCCM_D!$U22,Camplist_Popl,"&gt;10000")</f>
        <v>0</v>
      </c>
      <c r="Z22" s="42"/>
      <c r="AA22" s="39"/>
      <c r="AB22" s="39"/>
      <c r="AK22" s="11"/>
      <c r="AL22" s="11"/>
    </row>
    <row r="23" spans="1:38" ht="15">
      <c r="A23" s="39"/>
      <c r="B23" s="39"/>
      <c r="C23" s="39"/>
      <c r="D23" s="39"/>
      <c r="E23" s="39"/>
      <c r="F23" s="39"/>
      <c r="U23" s="45" t="s">
        <v>453</v>
      </c>
      <c r="V23" s="84">
        <f>COUNTIFS(Camplist_Township,Rakhine_CCCM_D!$U23,Camplist_Popl,"&gt;0",Camplist_Popl,"&lt;=1000")</f>
        <v>2</v>
      </c>
      <c r="W23" s="91">
        <f>COUNTIFS(Camplist_Township,Rakhine_CCCM_D!$U23,Camplist_Popl,"&gt;1000",Camplist_Popl,"&lt;=5000")</f>
        <v>2</v>
      </c>
      <c r="X23" s="91">
        <f>COUNTIFS(Camplist_Township,Rakhine_CCCM_D!$U23,Camplist_Popl,"&gt;5000",Camplist_Popl,"&lt;=10000")</f>
        <v>0</v>
      </c>
      <c r="Y23" s="91">
        <f>COUNTIFS(Camplist_Township,Rakhine_CCCM_D!$U23,Camplist_Popl,"&gt;10000")</f>
        <v>0</v>
      </c>
      <c r="Z23" s="42"/>
      <c r="AA23" s="39"/>
      <c r="AB23" s="39"/>
      <c r="AK23" s="11"/>
      <c r="AL23" s="11"/>
    </row>
    <row r="24" spans="1:38" ht="15">
      <c r="A24" s="39"/>
      <c r="B24" s="39"/>
      <c r="C24" s="39"/>
      <c r="D24" s="39"/>
      <c r="E24" s="39"/>
      <c r="F24" s="39"/>
      <c r="U24" s="45" t="s">
        <v>454</v>
      </c>
      <c r="V24" s="84">
        <f>COUNTIFS(Camplist_Township,Rakhine_CCCM_D!$U24,Camplist_Popl,"&gt;0",Camplist_Popl,"&lt;=1000")</f>
        <v>1</v>
      </c>
      <c r="W24" s="91">
        <f>COUNTIFS(Camplist_Township,Rakhine_CCCM_D!$U24,Camplist_Popl,"&gt;1000",Camplist_Popl,"&lt;=5000")</f>
        <v>1</v>
      </c>
      <c r="X24" s="91">
        <f>COUNTIFS(Camplist_Township,Rakhine_CCCM_D!$U24,Camplist_Popl,"&gt;5000",Camplist_Popl,"&lt;=10000")</f>
        <v>0</v>
      </c>
      <c r="Y24" s="91">
        <f>COUNTIFS(Camplist_Township,Rakhine_CCCM_D!$U24,Camplist_Popl,"&gt;10000")</f>
        <v>0</v>
      </c>
      <c r="Z24" s="39"/>
      <c r="AA24" s="39"/>
      <c r="AB24" s="39"/>
      <c r="AC24" s="44"/>
      <c r="AD24" s="44"/>
      <c r="AE24" s="44"/>
      <c r="AF24" s="44"/>
      <c r="AK24" s="11"/>
      <c r="AL24" s="11"/>
    </row>
    <row r="25" spans="1:38" ht="1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U25" s="45" t="s">
        <v>455</v>
      </c>
      <c r="V25" s="84">
        <f>COUNTIFS(Camplist_Township,Rakhine_CCCM_D!$U25,Camplist_Popl,"&gt;0",Camplist_Popl,"&lt;=1000")</f>
        <v>1</v>
      </c>
      <c r="W25" s="91">
        <f>COUNTIFS(Camplist_Township,Rakhine_CCCM_D!$U25,Camplist_Popl,"&gt;1000",Camplist_Popl,"&lt;=5000")</f>
        <v>4</v>
      </c>
      <c r="X25" s="91">
        <f>COUNTIFS(Camplist_Township,Rakhine_CCCM_D!$U25,Camplist_Popl,"&gt;5000",Camplist_Popl,"&lt;=10000")</f>
        <v>1</v>
      </c>
      <c r="Y25" s="91">
        <f>COUNTIFS(Camplist_Township,Rakhine_CCCM_D!$U25,Camplist_Popl,"&gt;10000")</f>
        <v>0</v>
      </c>
      <c r="Z25" s="61"/>
      <c r="AA25" s="61"/>
      <c r="AB25" s="69" t="s">
        <v>843</v>
      </c>
      <c r="AC25" s="43"/>
      <c r="AD25" s="44"/>
      <c r="AE25" s="44"/>
      <c r="AF25" s="44"/>
      <c r="AK25" s="11"/>
      <c r="AL25" s="11"/>
    </row>
    <row r="26" spans="1:38" ht="1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U26" s="45" t="s">
        <v>456</v>
      </c>
      <c r="V26" s="84">
        <f>COUNTIFS(Camplist_Township,Rakhine_CCCM_D!$U26,Camplist_Popl,"&gt;0",Camplist_Popl,"&lt;=1000")</f>
        <v>10</v>
      </c>
      <c r="W26" s="91">
        <f>COUNTIFS(Camplist_Township,Rakhine_CCCM_D!$U26,Camplist_Popl,"&gt;1000",Camplist_Popl,"&lt;=5000")</f>
        <v>1</v>
      </c>
      <c r="X26" s="91">
        <f>COUNTIFS(Camplist_Township,Rakhine_CCCM_D!$U26,Camplist_Popl,"&gt;5000",Camplist_Popl,"&lt;=10000")</f>
        <v>0</v>
      </c>
      <c r="Y26" s="91">
        <f>COUNTIFS(Camplist_Township,Rakhine_CCCM_D!$U26,Camplist_Popl,"&gt;10000")</f>
        <v>0</v>
      </c>
      <c r="Z26" s="70"/>
      <c r="AA26" s="71"/>
      <c r="AB26" s="72" t="s">
        <v>844</v>
      </c>
      <c r="AC26" s="43"/>
      <c r="AD26" s="44"/>
      <c r="AE26" s="44"/>
      <c r="AF26" s="44"/>
      <c r="AK26" s="11"/>
      <c r="AL26" s="11"/>
    </row>
    <row r="27" spans="21:38" ht="15">
      <c r="U27" s="45" t="s">
        <v>457</v>
      </c>
      <c r="V27" s="84">
        <f>COUNTIFS(Camplist_Township,Rakhine_CCCM_D!$U27,Camplist_Popl,"&gt;0",Camplist_Popl,"&lt;=1000")</f>
        <v>2</v>
      </c>
      <c r="W27" s="91">
        <f>COUNTIFS(Camplist_Township,Rakhine_CCCM_D!$U27,Camplist_Popl,"&gt;1000",Camplist_Popl,"&lt;=5000")</f>
        <v>2</v>
      </c>
      <c r="X27" s="91">
        <f>COUNTIFS(Camplist_Township,Rakhine_CCCM_D!$U27,Camplist_Popl,"&gt;5000",Camplist_Popl,"&lt;=10000")</f>
        <v>0</v>
      </c>
      <c r="Y27" s="91">
        <f>COUNTIFS(Camplist_Township,Rakhine_CCCM_D!$U27,Camplist_Popl,"&gt;10000")</f>
        <v>0</v>
      </c>
      <c r="Z27" s="70"/>
      <c r="AA27" s="71"/>
      <c r="AB27" s="72"/>
      <c r="AK27" s="11"/>
      <c r="AL27" s="11"/>
    </row>
    <row r="28" spans="1:38" ht="15">
      <c r="A28" s="73"/>
      <c r="B28" s="73"/>
      <c r="C28" s="330"/>
      <c r="D28" s="330"/>
      <c r="E28" s="330"/>
      <c r="F28" s="330"/>
      <c r="G28" s="73"/>
      <c r="H28" s="73"/>
      <c r="I28" s="73"/>
      <c r="U28" s="45" t="s">
        <v>458</v>
      </c>
      <c r="V28" s="84">
        <f>COUNTIFS(Camplist_Township,Rakhine_CCCM_D!$U28,Camplist_Popl,"&gt;0",Camplist_Popl,"&lt;=1000")</f>
        <v>1</v>
      </c>
      <c r="W28" s="91">
        <f>COUNTIFS(Camplist_Township,Rakhine_CCCM_D!$U28,Camplist_Popl,"&gt;1000",Camplist_Popl,"&lt;=5000")</f>
        <v>1</v>
      </c>
      <c r="X28" s="91">
        <f>COUNTIFS(Camplist_Township,Rakhine_CCCM_D!$U28,Camplist_Popl,"&gt;5000",Camplist_Popl,"&lt;=10000")</f>
        <v>0</v>
      </c>
      <c r="Y28" s="91">
        <f>COUNTIFS(Camplist_Township,Rakhine_CCCM_D!$U28,Camplist_Popl,"&gt;10000")</f>
        <v>0</v>
      </c>
      <c r="Z28" s="70"/>
      <c r="AA28" s="71"/>
      <c r="AB28" s="72" t="s">
        <v>845</v>
      </c>
      <c r="AK28" s="11"/>
      <c r="AL28" s="11"/>
    </row>
    <row r="29" spans="1:32" ht="15">
      <c r="A29" s="73"/>
      <c r="B29" s="73"/>
      <c r="C29" s="330"/>
      <c r="D29" s="330"/>
      <c r="E29" s="330"/>
      <c r="F29" s="330"/>
      <c r="G29" s="73"/>
      <c r="H29" s="73"/>
      <c r="I29" s="73"/>
      <c r="U29" s="45" t="s">
        <v>459</v>
      </c>
      <c r="V29" s="84">
        <f>COUNTIFS(Camplist_Township,Rakhine_CCCM_D!$U29,Camplist_Popl,"&gt;0",Camplist_Popl,"&lt;=1000")</f>
        <v>2</v>
      </c>
      <c r="W29" s="91">
        <f>COUNTIFS(Camplist_Township,Rakhine_CCCM_D!$U29,Camplist_Popl,"&gt;1000",Camplist_Popl,"&lt;=5000")</f>
        <v>0</v>
      </c>
      <c r="X29" s="91">
        <f>COUNTIFS(Camplist_Township,Rakhine_CCCM_D!$U29,Camplist_Popl,"&gt;5000",Camplist_Popl,"&lt;=10000")</f>
        <v>0</v>
      </c>
      <c r="Y29" s="91">
        <f>COUNTIFS(Camplist_Township,Rakhine_CCCM_D!$U29,Camplist_Popl,"&gt;10000")</f>
        <v>0</v>
      </c>
      <c r="Z29" s="70"/>
      <c r="AA29" s="71"/>
      <c r="AB29" s="72"/>
      <c r="AE29" s="74"/>
      <c r="AF29" s="74"/>
    </row>
    <row r="30" spans="1:31" ht="15">
      <c r="A30" s="73"/>
      <c r="B30" s="73"/>
      <c r="C30" s="330"/>
      <c r="D30" s="330"/>
      <c r="E30" s="330"/>
      <c r="F30" s="330"/>
      <c r="G30" s="73"/>
      <c r="H30" s="73"/>
      <c r="I30" s="73"/>
      <c r="U30" s="45" t="s">
        <v>460</v>
      </c>
      <c r="V30" s="84">
        <f>COUNTIFS(Camplist_Township,Rakhine_CCCM_D!$U30,Camplist_Popl,"&gt;0",Camplist_Popl,"&lt;=1000")</f>
        <v>6</v>
      </c>
      <c r="W30" s="91">
        <f>COUNTIFS(Camplist_Township,Rakhine_CCCM_D!$U30,Camplist_Popl,"&gt;1000",Camplist_Popl,"&lt;=5000")</f>
        <v>12</v>
      </c>
      <c r="X30" s="91">
        <f>COUNTIFS(Camplist_Township,Rakhine_CCCM_D!$U30,Camplist_Popl,"&gt;5000",Camplist_Popl,"&lt;=10000")</f>
        <v>1</v>
      </c>
      <c r="Y30" s="91">
        <f>COUNTIFS(Camplist_Township,Rakhine_CCCM_D!$U30,Camplist_Popl,"&gt;10000")</f>
        <v>4</v>
      </c>
      <c r="Z30" s="70"/>
      <c r="AA30" s="71"/>
      <c r="AB30" s="72"/>
      <c r="AE30" s="75" t="s">
        <v>846</v>
      </c>
    </row>
    <row r="31" spans="1:34" ht="15">
      <c r="A31" s="73"/>
      <c r="B31" s="73"/>
      <c r="C31" s="330"/>
      <c r="D31" s="330"/>
      <c r="E31" s="330"/>
      <c r="F31" s="330"/>
      <c r="G31" s="73"/>
      <c r="H31" s="73"/>
      <c r="I31" s="73"/>
      <c r="U31" s="45" t="s">
        <v>461</v>
      </c>
      <c r="V31" s="84">
        <f>COUNTIFS(Camplist_Township,Rakhine_CCCM_D!$U31,Camplist_Popl,"&gt;0",Camplist_Popl,"&lt;=1000")</f>
        <v>14</v>
      </c>
      <c r="W31" s="91">
        <f>COUNTIFS(Camplist_Township,Rakhine_CCCM_D!$U31,Camplist_Popl,"&gt;1000",Camplist_Popl,"&lt;=5000")</f>
        <v>0</v>
      </c>
      <c r="X31" s="91">
        <f>COUNTIFS(Camplist_Township,Rakhine_CCCM_D!$U31,Camplist_Popl,"&gt;5000",Camplist_Popl,"&lt;=10000")</f>
        <v>0</v>
      </c>
      <c r="Y31" s="91">
        <f>COUNTIFS(Camplist_Township,Rakhine_CCCM_D!$U31,Camplist_Popl,"&gt;10000")</f>
        <v>0</v>
      </c>
      <c r="Z31" s="70"/>
      <c r="AA31" s="71"/>
      <c r="AB31" s="72"/>
      <c r="AE31" s="76" t="s">
        <v>847</v>
      </c>
      <c r="AF31" s="76"/>
      <c r="AG31" s="76"/>
      <c r="AH31" s="77">
        <f>MAX(AJ11:AK16)</f>
        <v>0</v>
      </c>
    </row>
    <row r="32" spans="21:34" ht="15">
      <c r="U32" s="45" t="s">
        <v>5</v>
      </c>
      <c r="V32" s="91">
        <f>SUM(V22:V31)</f>
        <v>44</v>
      </c>
      <c r="W32" s="91">
        <f aca="true" t="shared" si="2" ref="W32:Y32">SUM(W22:W31)</f>
        <v>26</v>
      </c>
      <c r="X32" s="91">
        <f t="shared" si="2"/>
        <v>2</v>
      </c>
      <c r="Y32" s="91">
        <f t="shared" si="2"/>
        <v>4</v>
      </c>
      <c r="Z32" s="70"/>
      <c r="AA32" s="71"/>
      <c r="AB32" s="72" t="s">
        <v>848</v>
      </c>
      <c r="AE32" s="76" t="s">
        <v>849</v>
      </c>
      <c r="AH32" s="38">
        <v>0.9</v>
      </c>
    </row>
    <row r="33" spans="24:34" ht="15">
      <c r="X33" s="70"/>
      <c r="Y33" s="70"/>
      <c r="Z33" s="70"/>
      <c r="AA33" s="71"/>
      <c r="AB33" s="72" t="s">
        <v>850</v>
      </c>
      <c r="AE33" s="76" t="s">
        <v>851</v>
      </c>
      <c r="AH33" s="38">
        <v>8</v>
      </c>
    </row>
    <row r="34" spans="21:34" ht="15">
      <c r="U34" s="45" t="s">
        <v>1</v>
      </c>
      <c r="V34" s="91" t="s">
        <v>860</v>
      </c>
      <c r="W34" s="91" t="s">
        <v>861</v>
      </c>
      <c r="X34" s="91" t="s">
        <v>862</v>
      </c>
      <c r="Y34" s="91" t="s">
        <v>863</v>
      </c>
      <c r="Z34" s="70"/>
      <c r="AA34" s="71"/>
      <c r="AB34" s="72" t="s">
        <v>853</v>
      </c>
      <c r="AE34" s="76"/>
      <c r="AH34" s="38"/>
    </row>
    <row r="35" spans="21:31" ht="15">
      <c r="U35" s="45" t="s">
        <v>452</v>
      </c>
      <c r="V35" s="103">
        <f aca="true" t="shared" si="3" ref="V35:V44">SUMIFS(Camplist_Popl,Camplist_Township,U35,Camplist_Popl,"&gt;0",Camplist_Popl,"&lt;=1000")</f>
        <v>1276</v>
      </c>
      <c r="W35" s="91">
        <f aca="true" t="shared" si="4" ref="W35:W44">SUMIFS(Camplist_Popl,Camplist_Township,U35,Camplist_Popl,"&gt;1000",Camplist_Popl,"&lt;=5000")</f>
        <v>3876</v>
      </c>
      <c r="X35" s="91">
        <f aca="true" t="shared" si="5" ref="X35:X44">SUMIFS(Camplist_Popl,Camplist_Township,U35,Camplist_Popl,"&gt;5000",Camplist_Popl,"&lt;=10000")</f>
        <v>0</v>
      </c>
      <c r="Y35" s="91">
        <f aca="true" t="shared" si="6" ref="Y35:Y44">SUMIFS(Camplist_Popl,Camplist_Township,U35,Camplist_Popl,"&gt;10000")</f>
        <v>0</v>
      </c>
      <c r="Z35" s="70"/>
      <c r="AA35" s="71"/>
      <c r="AB35" s="72" t="s">
        <v>853</v>
      </c>
      <c r="AE35" s="76" t="s">
        <v>854</v>
      </c>
    </row>
    <row r="36" spans="21:28" ht="15">
      <c r="U36" s="45" t="s">
        <v>453</v>
      </c>
      <c r="V36" s="103">
        <f t="shared" si="3"/>
        <v>191</v>
      </c>
      <c r="W36" s="91">
        <f t="shared" si="4"/>
        <v>3944</v>
      </c>
      <c r="X36" s="91">
        <f t="shared" si="5"/>
        <v>0</v>
      </c>
      <c r="Y36" s="91">
        <f t="shared" si="6"/>
        <v>0</v>
      </c>
      <c r="Z36" s="70"/>
      <c r="AA36" s="71"/>
      <c r="AB36" s="72" t="s">
        <v>855</v>
      </c>
    </row>
    <row r="37" spans="21:28" ht="15">
      <c r="U37" s="45" t="s">
        <v>454</v>
      </c>
      <c r="V37" s="103">
        <f t="shared" si="3"/>
        <v>269</v>
      </c>
      <c r="W37" s="91">
        <f t="shared" si="4"/>
        <v>3900</v>
      </c>
      <c r="X37" s="91">
        <f t="shared" si="5"/>
        <v>0</v>
      </c>
      <c r="Y37" s="91">
        <f t="shared" si="6"/>
        <v>0</v>
      </c>
      <c r="Z37" s="70"/>
      <c r="AA37" s="71"/>
      <c r="AB37" s="72" t="s">
        <v>856</v>
      </c>
    </row>
    <row r="38" spans="21:28" ht="15">
      <c r="U38" s="45" t="s">
        <v>455</v>
      </c>
      <c r="V38" s="103">
        <f t="shared" si="3"/>
        <v>97</v>
      </c>
      <c r="W38" s="91">
        <f t="shared" si="4"/>
        <v>13006</v>
      </c>
      <c r="X38" s="91">
        <f t="shared" si="5"/>
        <v>6873</v>
      </c>
      <c r="Y38" s="91">
        <f t="shared" si="6"/>
        <v>0</v>
      </c>
      <c r="Z38" s="70"/>
      <c r="AA38" s="71"/>
      <c r="AB38" s="72" t="s">
        <v>857</v>
      </c>
    </row>
    <row r="39" spans="21:28" ht="15">
      <c r="U39" s="45" t="s">
        <v>456</v>
      </c>
      <c r="V39" s="103">
        <f t="shared" si="3"/>
        <v>5051</v>
      </c>
      <c r="W39" s="91">
        <f t="shared" si="4"/>
        <v>1367</v>
      </c>
      <c r="X39" s="91">
        <f t="shared" si="5"/>
        <v>0</v>
      </c>
      <c r="Y39" s="91">
        <f t="shared" si="6"/>
        <v>0</v>
      </c>
      <c r="Z39" s="70"/>
      <c r="AA39" s="71"/>
      <c r="AB39" s="72" t="s">
        <v>858</v>
      </c>
    </row>
    <row r="40" spans="21:28" ht="15">
      <c r="U40" s="45" t="s">
        <v>457</v>
      </c>
      <c r="V40" s="103">
        <f t="shared" si="3"/>
        <v>707</v>
      </c>
      <c r="W40" s="91">
        <f t="shared" si="4"/>
        <v>3301</v>
      </c>
      <c r="X40" s="91">
        <f t="shared" si="5"/>
        <v>0</v>
      </c>
      <c r="Y40" s="91">
        <f t="shared" si="6"/>
        <v>0</v>
      </c>
      <c r="Z40" s="70"/>
      <c r="AA40" s="71"/>
      <c r="AB40" s="72" t="s">
        <v>858</v>
      </c>
    </row>
    <row r="41" spans="21:28" ht="15">
      <c r="U41" s="45" t="s">
        <v>458</v>
      </c>
      <c r="V41" s="103">
        <f t="shared" si="3"/>
        <v>321</v>
      </c>
      <c r="W41" s="91">
        <f t="shared" si="4"/>
        <v>1528</v>
      </c>
      <c r="X41" s="91">
        <f t="shared" si="5"/>
        <v>0</v>
      </c>
      <c r="Y41" s="91">
        <f t="shared" si="6"/>
        <v>0</v>
      </c>
      <c r="Z41" s="39"/>
      <c r="AA41" s="39"/>
      <c r="AB41" s="39"/>
    </row>
    <row r="42" spans="21:28" ht="15">
      <c r="U42" s="45" t="s">
        <v>459</v>
      </c>
      <c r="V42" s="103">
        <f t="shared" si="3"/>
        <v>260</v>
      </c>
      <c r="W42" s="91">
        <f t="shared" si="4"/>
        <v>0</v>
      </c>
      <c r="X42" s="91">
        <f t="shared" si="5"/>
        <v>0</v>
      </c>
      <c r="Y42" s="91">
        <f t="shared" si="6"/>
        <v>0</v>
      </c>
      <c r="Z42" s="39"/>
      <c r="AA42" s="39"/>
      <c r="AB42" s="39"/>
    </row>
    <row r="43" spans="21:28" ht="15">
      <c r="U43" s="45" t="s">
        <v>460</v>
      </c>
      <c r="V43" s="103">
        <f t="shared" si="3"/>
        <v>2924</v>
      </c>
      <c r="W43" s="91">
        <f t="shared" si="4"/>
        <v>26353</v>
      </c>
      <c r="X43" s="91">
        <f t="shared" si="5"/>
        <v>6225</v>
      </c>
      <c r="Y43" s="91">
        <f t="shared" si="6"/>
        <v>54378</v>
      </c>
      <c r="Z43" s="39"/>
      <c r="AA43" s="39"/>
      <c r="AB43" s="39"/>
    </row>
    <row r="44" spans="21:28" ht="15">
      <c r="U44" s="45" t="s">
        <v>461</v>
      </c>
      <c r="V44" s="103">
        <f t="shared" si="3"/>
        <v>3569</v>
      </c>
      <c r="W44" s="91">
        <f t="shared" si="4"/>
        <v>0</v>
      </c>
      <c r="X44" s="91">
        <f t="shared" si="5"/>
        <v>0</v>
      </c>
      <c r="Y44" s="91">
        <f t="shared" si="6"/>
        <v>0</v>
      </c>
      <c r="Z44" s="39"/>
      <c r="AA44" s="39"/>
      <c r="AB44" s="39"/>
    </row>
    <row r="45" spans="21:28" ht="15">
      <c r="U45" s="45" t="s">
        <v>5</v>
      </c>
      <c r="V45" s="103">
        <f>SUM(V35:V44)</f>
        <v>14665</v>
      </c>
      <c r="W45" s="103">
        <f aca="true" t="shared" si="7" ref="W45:Y45">SUM(W35:W44)</f>
        <v>57275</v>
      </c>
      <c r="X45" s="103">
        <f t="shared" si="7"/>
        <v>13098</v>
      </c>
      <c r="Y45" s="103">
        <f t="shared" si="7"/>
        <v>54378</v>
      </c>
      <c r="Z45" s="39"/>
      <c r="AA45" s="39"/>
      <c r="AB45" s="39"/>
    </row>
    <row r="46" spans="21:28" ht="15">
      <c r="U46" s="45" t="s">
        <v>867</v>
      </c>
      <c r="V46" s="93">
        <f>V45/$W$19</f>
        <v>0.10518878751362828</v>
      </c>
      <c r="W46" s="93">
        <f aca="true" t="shared" si="8" ref="W46:Y46">W45/$W$19</f>
        <v>0.4108208526998336</v>
      </c>
      <c r="X46" s="93">
        <f t="shared" si="8"/>
        <v>0.09394904458598727</v>
      </c>
      <c r="Y46" s="93">
        <f t="shared" si="8"/>
        <v>0.39004131520055085</v>
      </c>
      <c r="Z46" s="39"/>
      <c r="AA46" s="39"/>
      <c r="AB46" s="39"/>
    </row>
    <row r="47" spans="21:28" ht="15">
      <c r="U47" s="39"/>
      <c r="V47" s="70"/>
      <c r="W47" s="39"/>
      <c r="X47" s="79"/>
      <c r="Y47" s="39"/>
      <c r="Z47" s="39"/>
      <c r="AA47" s="39"/>
      <c r="AB47" s="39"/>
    </row>
    <row r="48" spans="21:28" ht="15">
      <c r="U48" s="39"/>
      <c r="V48" s="39"/>
      <c r="W48" s="39"/>
      <c r="X48" s="39"/>
      <c r="Y48" s="39"/>
      <c r="Z48" s="39"/>
      <c r="AA48" s="39"/>
      <c r="AB48" s="39"/>
    </row>
    <row r="49" spans="22:28" ht="15">
      <c r="V49" s="39"/>
      <c r="W49" s="39"/>
      <c r="X49" s="39"/>
      <c r="Y49" s="39"/>
      <c r="Z49" s="39"/>
      <c r="AA49" s="39"/>
      <c r="AB49" s="39"/>
    </row>
    <row r="50" spans="22:28" ht="15">
      <c r="V50" s="39"/>
      <c r="W50" s="39"/>
      <c r="X50" s="39"/>
      <c r="Y50" s="39"/>
      <c r="Z50" s="39"/>
      <c r="AA50" s="39"/>
      <c r="AB50" s="39"/>
    </row>
    <row r="51" spans="22:28" ht="15">
      <c r="V51" s="39"/>
      <c r="W51" s="39"/>
      <c r="X51" s="39"/>
      <c r="Y51" s="39"/>
      <c r="Z51" s="39"/>
      <c r="AA51" s="39"/>
      <c r="AB51" s="39"/>
    </row>
    <row r="78" ht="19.5">
      <c r="V78" s="82"/>
    </row>
    <row r="79" ht="15.75">
      <c r="V79" s="83"/>
    </row>
    <row r="80" ht="15.75">
      <c r="V80" s="83"/>
    </row>
    <row r="95" spans="31:33" ht="15">
      <c r="AE95" s="38"/>
      <c r="AF95" s="38"/>
      <c r="AG95" s="38"/>
    </row>
    <row r="96" spans="31:32" ht="15">
      <c r="AE96" s="38"/>
      <c r="AF96" s="38"/>
    </row>
    <row r="97" spans="31:32" ht="15">
      <c r="AE97" s="38"/>
      <c r="AF97" s="38"/>
    </row>
  </sheetData>
  <mergeCells count="33">
    <mergeCell ref="AH13:AI13"/>
    <mergeCell ref="C14:E14"/>
    <mergeCell ref="C13:E13"/>
    <mergeCell ref="H13:H14"/>
    <mergeCell ref="I13:I14"/>
    <mergeCell ref="J13:J14"/>
    <mergeCell ref="K13:K14"/>
    <mergeCell ref="AH14:AI14"/>
    <mergeCell ref="AH10:AI10"/>
    <mergeCell ref="AH11:AI11"/>
    <mergeCell ref="C12:E12"/>
    <mergeCell ref="H12:K12"/>
    <mergeCell ref="AH12:AI12"/>
    <mergeCell ref="AH15:AI15"/>
    <mergeCell ref="C30:D30"/>
    <mergeCell ref="E30:F30"/>
    <mergeCell ref="C17:E17"/>
    <mergeCell ref="C18:E18"/>
    <mergeCell ref="C16:E16"/>
    <mergeCell ref="AH16:AI16"/>
    <mergeCell ref="A2:T2"/>
    <mergeCell ref="A1:T1"/>
    <mergeCell ref="A3:C3"/>
    <mergeCell ref="C31:D31"/>
    <mergeCell ref="E31:F31"/>
    <mergeCell ref="C19:E19"/>
    <mergeCell ref="C20:E20"/>
    <mergeCell ref="C21:E21"/>
    <mergeCell ref="C29:D29"/>
    <mergeCell ref="E29:F29"/>
    <mergeCell ref="C28:D28"/>
    <mergeCell ref="E28:F28"/>
    <mergeCell ref="C15:E15"/>
  </mergeCells>
  <conditionalFormatting sqref="H15:K15">
    <cfRule type="dataBar" priority="6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{1529517F-DB77-4251-B0DF-CB5747CEB928}</x14:id>
        </ext>
      </extLst>
    </cfRule>
  </conditionalFormatting>
  <conditionalFormatting sqref="H16:K16">
    <cfRule type="dataBar" priority="5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{EEE9F7BF-E224-43AC-96D0-E09FCCE40293}</x14:id>
        </ext>
      </extLst>
    </cfRule>
  </conditionalFormatting>
  <conditionalFormatting sqref="H17:K17">
    <cfRule type="dataBar" priority="4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{BC1C6A51-5531-4CB4-8B41-0FCEBD4612FE}</x14:id>
        </ext>
      </extLst>
    </cfRule>
  </conditionalFormatting>
  <conditionalFormatting sqref="H15:L15">
    <cfRule type="dataBar" priority="3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{B355DE66-6E63-4DC6-A1C1-0AC476872B68}</x14:id>
        </ext>
      </extLst>
    </cfRule>
  </conditionalFormatting>
  <conditionalFormatting sqref="H16:L16">
    <cfRule type="dataBar" priority="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{FE6553FA-91D7-4C72-9349-0FD8DA39EDC8}</x14:id>
        </ext>
      </extLst>
    </cfRule>
  </conditionalFormatting>
  <conditionalFormatting sqref="H17:L17">
    <cfRule type="dataBar" priority="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{C0CC8BF8-44A9-44AC-913A-0F191675451D}</x14:id>
        </ext>
      </extLst>
    </cfRule>
  </conditionalFormatting>
  <printOptions/>
  <pageMargins left="0.25" right="0.25" top="0.75" bottom="0.75" header="0.3" footer="0.3"/>
  <pageSetup fitToWidth="0" fitToHeight="1" horizontalDpi="1200" verticalDpi="1200" orientation="landscape" paperSize="9" scale="66" r:id="rId3"/>
  <rowBreaks count="1" manualBreakCount="1">
    <brk id="51" max="16383" man="1"/>
  </rowBreak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3313" r:id="rId4" name="Button 1">
              <controlPr defaultSize="0" print="0" autoFill="0" autoPict="0" macro="[4]!ThisWorkbook.Example2_Click" altText="Calculate">
                <anchor moveWithCells="1" sizeWithCells="1">
                  <from>
                    <xdr:col>35</xdr:col>
                    <xdr:colOff>533400</xdr:colOff>
                    <xdr:row>30</xdr:row>
                    <xdr:rowOff>95250</xdr:rowOff>
                  </from>
                  <to>
                    <xdr:col>39</xdr:col>
                    <xdr:colOff>361950</xdr:colOff>
                    <xdr:row>33</xdr:row>
                    <xdr:rowOff>171450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529517F-DB77-4251-B0DF-CB5747CEB9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H15:K15</xm:sqref>
        </x14:conditionalFormatting>
        <x14:conditionalFormatting xmlns:xm="http://schemas.microsoft.com/office/excel/2006/main">
          <x14:cfRule type="dataBar" id="{EEE9F7BF-E224-43AC-96D0-E09FCCE402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H16:K16</xm:sqref>
        </x14:conditionalFormatting>
        <x14:conditionalFormatting xmlns:xm="http://schemas.microsoft.com/office/excel/2006/main">
          <x14:cfRule type="dataBar" id="{BC1C6A51-5531-4CB4-8B41-0FCEBD4612F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H17:K17</xm:sqref>
        </x14:conditionalFormatting>
        <x14:conditionalFormatting xmlns:xm="http://schemas.microsoft.com/office/excel/2006/main">
          <x14:cfRule type="dataBar" id="{B355DE66-6E63-4DC6-A1C1-0AC476872B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H15:L15</xm:sqref>
        </x14:conditionalFormatting>
        <x14:conditionalFormatting xmlns:xm="http://schemas.microsoft.com/office/excel/2006/main">
          <x14:cfRule type="dataBar" id="{FE6553FA-91D7-4C72-9349-0FD8DA39EDC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  <x14:dxf/>
          </x14:cfRule>
          <xm:sqref>H16:L16</xm:sqref>
        </x14:conditionalFormatting>
        <x14:conditionalFormatting xmlns:xm="http://schemas.microsoft.com/office/excel/2006/main">
          <x14:cfRule type="dataBar" id="{C0CC8BF8-44A9-44AC-913A-0F191675451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  <x14:dxf/>
          </x14:cfRule>
          <xm:sqref>H17:L17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BG96"/>
  <sheetViews>
    <sheetView showZeros="0" zoomScale="60" zoomScaleNormal="60" workbookViewId="0" topLeftCell="A1">
      <selection activeCell="L10" sqref="L10"/>
    </sheetView>
  </sheetViews>
  <sheetFormatPr defaultColWidth="9.140625" defaultRowHeight="15"/>
  <cols>
    <col min="1" max="1" width="3.00390625" style="101" customWidth="1"/>
    <col min="2" max="2" width="6.8515625" style="101" customWidth="1"/>
    <col min="3" max="3" width="9.140625" style="101" customWidth="1"/>
    <col min="4" max="4" width="15.140625" style="101" customWidth="1"/>
    <col min="5" max="5" width="9.140625" style="101" customWidth="1"/>
    <col min="6" max="6" width="7.8515625" style="101" customWidth="1"/>
    <col min="7" max="7" width="12.00390625" style="101" customWidth="1"/>
    <col min="8" max="8" width="8.57421875" style="101" customWidth="1"/>
    <col min="9" max="9" width="12.57421875" style="101" customWidth="1"/>
    <col min="10" max="10" width="12.421875" style="101" customWidth="1"/>
    <col min="11" max="11" width="9.7109375" style="101" customWidth="1"/>
    <col min="12" max="19" width="9.140625" style="101" customWidth="1"/>
    <col min="20" max="20" width="12.57421875" style="101" hidden="1" customWidth="1"/>
    <col min="21" max="21" width="13.00390625" style="101" customWidth="1"/>
    <col min="22" max="22" width="9.421875" style="101" customWidth="1"/>
    <col min="23" max="23" width="10.140625" style="101" customWidth="1"/>
    <col min="24" max="24" width="9.7109375" style="101" customWidth="1"/>
    <col min="25" max="25" width="10.00390625" style="101" customWidth="1"/>
    <col min="26" max="26" width="12.57421875" style="101" customWidth="1"/>
    <col min="27" max="27" width="25.421875" style="101" customWidth="1"/>
    <col min="28" max="28" width="48.140625" style="101" customWidth="1"/>
    <col min="29" max="29" width="11.140625" style="101" customWidth="1"/>
    <col min="30" max="30" width="6.57421875" style="101" customWidth="1"/>
    <col min="31" max="31" width="14.7109375" style="101" customWidth="1"/>
    <col min="32" max="32" width="11.00390625" style="101" customWidth="1"/>
    <col min="33" max="16384" width="9.140625" style="101" customWidth="1"/>
  </cols>
  <sheetData>
    <row r="1" spans="1:59" s="2" customFormat="1" ht="36">
      <c r="A1" s="329"/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238"/>
      <c r="BF1" s="283"/>
      <c r="BG1" s="283"/>
    </row>
    <row r="2" spans="1:59" s="2" customFormat="1" ht="36">
      <c r="A2" s="329" t="s">
        <v>1268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238"/>
      <c r="BF2" s="283"/>
      <c r="BG2" s="283"/>
    </row>
    <row r="3" spans="1:59" s="39" customFormat="1" ht="18" customHeight="1">
      <c r="A3" s="328" t="str">
        <f>Report_Date</f>
        <v>Juin 2013</v>
      </c>
      <c r="B3" s="328"/>
      <c r="C3" s="328"/>
      <c r="D3" s="182"/>
      <c r="E3" s="182"/>
      <c r="F3" s="182"/>
      <c r="G3" s="182"/>
      <c r="H3" s="182"/>
      <c r="I3" s="182"/>
      <c r="J3" s="182"/>
      <c r="L3" s="182"/>
      <c r="M3" s="182"/>
      <c r="N3" s="182"/>
      <c r="O3" s="182"/>
      <c r="P3" s="182"/>
      <c r="Q3" s="182"/>
      <c r="R3" s="182"/>
      <c r="S3" s="284"/>
      <c r="T3" s="182"/>
      <c r="U3" s="182"/>
      <c r="BF3" s="284"/>
      <c r="BG3" s="284"/>
    </row>
    <row r="5" spans="15:39" ht="15">
      <c r="O5" s="86"/>
      <c r="P5" s="336" t="s">
        <v>859</v>
      </c>
      <c r="Q5" s="336"/>
      <c r="R5" s="336"/>
      <c r="S5" s="336"/>
      <c r="U5" s="39"/>
      <c r="V5" s="39"/>
      <c r="W5" s="39"/>
      <c r="X5" s="40"/>
      <c r="Y5" s="39"/>
      <c r="Z5" s="39"/>
      <c r="AA5" s="39"/>
      <c r="AB5" s="41" t="s">
        <v>838</v>
      </c>
      <c r="AC5" s="11"/>
      <c r="AD5" s="11"/>
      <c r="AM5" s="101">
        <f>COUNTA(AK:AK)-1</f>
        <v>-1</v>
      </c>
    </row>
    <row r="6" spans="15:30" ht="15">
      <c r="O6" s="87"/>
      <c r="P6" s="337" t="s">
        <v>860</v>
      </c>
      <c r="Q6" s="339" t="s">
        <v>861</v>
      </c>
      <c r="R6" s="341" t="s">
        <v>862</v>
      </c>
      <c r="S6" s="343" t="s">
        <v>863</v>
      </c>
      <c r="U6" s="39"/>
      <c r="V6" s="39"/>
      <c r="W6" s="39"/>
      <c r="X6" s="42"/>
      <c r="Y6" s="42"/>
      <c r="Z6" s="42"/>
      <c r="AA6" s="39"/>
      <c r="AB6" s="43" t="s">
        <v>839</v>
      </c>
      <c r="AC6" s="44"/>
      <c r="AD6" s="44"/>
    </row>
    <row r="7" spans="15:30" ht="15">
      <c r="O7" s="87"/>
      <c r="P7" s="338"/>
      <c r="Q7" s="340"/>
      <c r="R7" s="342"/>
      <c r="S7" s="344"/>
      <c r="U7" s="45" t="s">
        <v>1</v>
      </c>
      <c r="V7" s="45" t="s">
        <v>822</v>
      </c>
      <c r="W7" s="45" t="s">
        <v>823</v>
      </c>
      <c r="X7" s="45" t="s">
        <v>840</v>
      </c>
      <c r="Y7" s="46"/>
      <c r="Z7" s="46"/>
      <c r="AA7" s="39"/>
      <c r="AB7" s="47"/>
      <c r="AC7" s="48"/>
      <c r="AD7" s="48"/>
    </row>
    <row r="8" spans="15:34" ht="23.25">
      <c r="O8" s="88" t="s">
        <v>811</v>
      </c>
      <c r="P8" s="89">
        <f>V54</f>
        <v>129</v>
      </c>
      <c r="Q8" s="89">
        <f>W54</f>
        <v>21</v>
      </c>
      <c r="R8" s="89">
        <f aca="true" t="shared" si="0" ref="R8:S8">X54</f>
        <v>1</v>
      </c>
      <c r="S8" s="89">
        <f t="shared" si="0"/>
        <v>0</v>
      </c>
      <c r="T8" s="261">
        <f>SUM(P8:S8)</f>
        <v>151</v>
      </c>
      <c r="U8" s="45" t="s">
        <v>7</v>
      </c>
      <c r="V8" s="49">
        <f>SUMIFS(Camplist_HH,Camplist_Township,Kachin_CCCM_D!$U8,CampList_Status,"Open")</f>
        <v>1276</v>
      </c>
      <c r="W8" s="49">
        <f>SUMIFS(Camplist_Popl,Camplist_Township,Kachin_CCCM_D!$U8,CampList_Status,"Open")</f>
        <v>5768</v>
      </c>
      <c r="X8" s="50">
        <f>COUNTIFS(Camplist_Township,Kachin_CCCM_D!U8,CampList_Status,"open")</f>
        <v>13</v>
      </c>
      <c r="Y8" s="39"/>
      <c r="Z8" s="39"/>
      <c r="AA8" s="39"/>
      <c r="AH8" s="51"/>
    </row>
    <row r="9" spans="15:39" ht="15">
      <c r="O9" s="88" t="s">
        <v>864</v>
      </c>
      <c r="P9" s="89">
        <f>V78</f>
        <v>32612</v>
      </c>
      <c r="Q9" s="89">
        <f aca="true" t="shared" si="1" ref="Q9:S9">W78</f>
        <v>42735</v>
      </c>
      <c r="R9" s="89">
        <f t="shared" si="1"/>
        <v>8446</v>
      </c>
      <c r="S9" s="89">
        <f t="shared" si="1"/>
        <v>0</v>
      </c>
      <c r="T9" s="261">
        <f aca="true" t="shared" si="2" ref="T9:T10">SUM(P9:S9)</f>
        <v>83793</v>
      </c>
      <c r="U9" s="45" t="s">
        <v>376</v>
      </c>
      <c r="V9" s="49">
        <f>SUMIFS(Camplist_HH,Camplist_Township,Kachin_CCCM_D!$U9,CampList_Status,"Open")</f>
        <v>0</v>
      </c>
      <c r="W9" s="49">
        <f>SUMIFS(Camplist_Popl,Camplist_Township,Kachin_CCCM_D!$U9,CampList_Status,"Open")</f>
        <v>0</v>
      </c>
      <c r="X9" s="50">
        <f>COUNTIFS(Camplist_Township,Kachin_CCCM_D!U9,CampList_Status,"open")</f>
        <v>0</v>
      </c>
      <c r="Y9" s="40"/>
      <c r="Z9" s="40"/>
      <c r="AA9" s="39"/>
      <c r="AH9" s="334"/>
      <c r="AI9" s="334"/>
      <c r="AK9" s="38"/>
      <c r="AL9" s="52"/>
      <c r="AM9" s="52"/>
    </row>
    <row r="10" spans="15:39" ht="15">
      <c r="O10" s="88" t="s">
        <v>865</v>
      </c>
      <c r="P10" s="90">
        <f>ROUNDUP(P9/$W$28,3)</f>
        <v>0.393</v>
      </c>
      <c r="Q10" s="90">
        <f>ROUNDUP(Q9/$W$28,3)</f>
        <v>0.515</v>
      </c>
      <c r="R10" s="90">
        <f>ROUNDUP(R9/$W$28,3)</f>
        <v>0.10200000000000001</v>
      </c>
      <c r="S10" s="90">
        <f>ROUNDUP(S9/$W$28,3)</f>
        <v>0</v>
      </c>
      <c r="T10" s="261">
        <f t="shared" si="2"/>
        <v>1.01</v>
      </c>
      <c r="U10" s="45" t="s">
        <v>29</v>
      </c>
      <c r="V10" s="49">
        <f>SUMIFS(Camplist_HH,Camplist_Township,Kachin_CCCM_D!$U10,CampList_Status,"Open")</f>
        <v>95.4</v>
      </c>
      <c r="W10" s="49">
        <f>SUMIFS(Camplist_Popl,Camplist_Township,Kachin_CCCM_D!$U10,CampList_Status,"Open")</f>
        <v>830</v>
      </c>
      <c r="X10" s="50">
        <f>COUNTIFS(Camplist_Township,Kachin_CCCM_D!U10,CampList_Status,"open")</f>
        <v>6</v>
      </c>
      <c r="Y10" s="53"/>
      <c r="Z10" s="53"/>
      <c r="AA10" s="39"/>
      <c r="AG10" s="54"/>
      <c r="AH10" s="333"/>
      <c r="AI10" s="333"/>
      <c r="AK10" s="55"/>
      <c r="AL10" s="56"/>
      <c r="AM10" s="57"/>
    </row>
    <row r="11" spans="1:39" ht="15.75">
      <c r="A11" s="100"/>
      <c r="B11" s="100"/>
      <c r="C11" s="335"/>
      <c r="D11" s="335"/>
      <c r="E11" s="335"/>
      <c r="F11" s="85"/>
      <c r="U11" s="45" t="s">
        <v>41</v>
      </c>
      <c r="V11" s="49">
        <f>SUMIFS(Camplist_HH,Camplist_Township,Kachin_CCCM_D!$U11,CampList_Status,"Open")</f>
        <v>1330</v>
      </c>
      <c r="W11" s="49">
        <f>SUMIFS(Camplist_Popl,Camplist_Township,Kachin_CCCM_D!$U11,CampList_Status,"Open")</f>
        <v>5069</v>
      </c>
      <c r="X11" s="50">
        <f>COUNTIFS(Camplist_Township,Kachin_CCCM_D!U11,CampList_Status,"open")</f>
        <v>23</v>
      </c>
      <c r="Y11" s="39"/>
      <c r="Z11" s="39"/>
      <c r="AA11" s="39"/>
      <c r="AB11" s="39"/>
      <c r="AG11" s="54"/>
      <c r="AH11" s="333"/>
      <c r="AI11" s="333"/>
      <c r="AK11" s="55"/>
      <c r="AL11" s="56"/>
      <c r="AM11" s="57"/>
    </row>
    <row r="12" spans="1:39" ht="15.75" customHeight="1">
      <c r="A12" s="59"/>
      <c r="B12" s="59"/>
      <c r="C12" s="331"/>
      <c r="D12" s="332"/>
      <c r="E12" s="332"/>
      <c r="F12" s="86"/>
      <c r="U12" s="45" t="s">
        <v>412</v>
      </c>
      <c r="V12" s="49">
        <f>SUMIFS(Camplist_HH,Camplist_Township,Kachin_CCCM_D!$U12,CampList_Status,"Open")</f>
        <v>0</v>
      </c>
      <c r="W12" s="49">
        <f>SUMIFS(Camplist_Popl,Camplist_Township,Kachin_CCCM_D!$U12,CampList_Status,"Open")</f>
        <v>0</v>
      </c>
      <c r="X12" s="50">
        <f>COUNTIFS(Camplist_Township,Kachin_CCCM_D!U12,CampList_Status,"open")</f>
        <v>1</v>
      </c>
      <c r="Y12" s="61"/>
      <c r="Z12" s="61"/>
      <c r="AA12" s="39"/>
      <c r="AB12" s="39"/>
      <c r="AG12" s="54"/>
      <c r="AH12" s="333"/>
      <c r="AI12" s="333"/>
      <c r="AK12" s="55"/>
      <c r="AL12" s="56"/>
      <c r="AM12" s="57"/>
    </row>
    <row r="13" spans="1:39" ht="15.75">
      <c r="A13" s="59"/>
      <c r="B13" s="59"/>
      <c r="C13" s="331"/>
      <c r="D13" s="332"/>
      <c r="E13" s="332"/>
      <c r="F13" s="86"/>
      <c r="U13" s="45" t="s">
        <v>148</v>
      </c>
      <c r="V13" s="49">
        <f>SUMIFS(Camplist_HH,Camplist_Township,Kachin_CCCM_D!$U13,CampList_Status,"Open")</f>
        <v>22</v>
      </c>
      <c r="W13" s="49">
        <f>SUMIFS(Camplist_Popl,Camplist_Township,Kachin_CCCM_D!$U13,CampList_Status,"Open")</f>
        <v>107</v>
      </c>
      <c r="X13" s="50">
        <f>COUNTIFS(Camplist_Township,Kachin_CCCM_D!U13,CampList_Status,"open")</f>
        <v>1</v>
      </c>
      <c r="Y13" s="42"/>
      <c r="Z13" s="42"/>
      <c r="AA13" s="39"/>
      <c r="AB13" s="39"/>
      <c r="AC13" s="44"/>
      <c r="AD13" s="44"/>
      <c r="AE13" s="44"/>
      <c r="AF13" s="44"/>
      <c r="AG13" s="54"/>
      <c r="AH13" s="333"/>
      <c r="AI13" s="333"/>
      <c r="AK13" s="55"/>
      <c r="AL13" s="56"/>
      <c r="AM13" s="57"/>
    </row>
    <row r="14" spans="1:39" ht="15.75">
      <c r="A14" s="59"/>
      <c r="B14" s="59"/>
      <c r="C14" s="331"/>
      <c r="D14" s="332"/>
      <c r="E14" s="332"/>
      <c r="F14" s="86"/>
      <c r="U14" s="45" t="s">
        <v>150</v>
      </c>
      <c r="V14" s="49">
        <f>SUMIFS(Camplist_HH,Camplist_Township,Kachin_CCCM_D!$U14,CampList_Status,"Open")</f>
        <v>148</v>
      </c>
      <c r="W14" s="49">
        <f>SUMIFS(Camplist_Popl,Camplist_Township,Kachin_CCCM_D!$U14,CampList_Status,"Open")</f>
        <v>571</v>
      </c>
      <c r="X14" s="50">
        <f>COUNTIFS(Camplist_Township,Kachin_CCCM_D!U14,CampList_Status,"open")</f>
        <v>8</v>
      </c>
      <c r="Y14" s="42"/>
      <c r="Z14" s="42"/>
      <c r="AA14" s="39"/>
      <c r="AB14" s="39"/>
      <c r="AC14" s="44"/>
      <c r="AD14" s="44"/>
      <c r="AE14" s="44"/>
      <c r="AF14" s="44"/>
      <c r="AG14" s="54"/>
      <c r="AH14" s="333"/>
      <c r="AI14" s="333"/>
      <c r="AK14" s="55"/>
      <c r="AL14" s="56"/>
      <c r="AM14" s="57"/>
    </row>
    <row r="15" spans="1:39" ht="15.75">
      <c r="A15" s="59"/>
      <c r="B15" s="59"/>
      <c r="C15" s="331"/>
      <c r="D15" s="332"/>
      <c r="E15" s="332"/>
      <c r="F15" s="86"/>
      <c r="U15" s="45" t="s">
        <v>155</v>
      </c>
      <c r="V15" s="49">
        <f>SUMIFS(Camplist_HH,Camplist_Township,Kachin_CCCM_D!$U15,CampList_Status,"Open")</f>
        <v>1551.2</v>
      </c>
      <c r="W15" s="49">
        <f>SUMIFS(Camplist_Popl,Camplist_Township,Kachin_CCCM_D!$U15,CampList_Status,"Open")</f>
        <v>7286</v>
      </c>
      <c r="X15" s="50">
        <f>COUNTIFS(Camplist_Township,Kachin_CCCM_D!U15,CampList_Status,"open")</f>
        <v>11</v>
      </c>
      <c r="Y15" s="42"/>
      <c r="Z15" s="42"/>
      <c r="AA15" s="39"/>
      <c r="AB15" s="39"/>
      <c r="AC15" s="44"/>
      <c r="AD15" s="44"/>
      <c r="AE15" s="44"/>
      <c r="AF15" s="44"/>
      <c r="AG15" s="54"/>
      <c r="AH15" s="333"/>
      <c r="AI15" s="333"/>
      <c r="AJ15" s="62"/>
      <c r="AK15" s="63"/>
      <c r="AL15" s="64"/>
      <c r="AM15" s="65"/>
    </row>
    <row r="16" spans="1:32" ht="15.75">
      <c r="A16" s="59"/>
      <c r="B16" s="59"/>
      <c r="C16" s="331"/>
      <c r="D16" s="332"/>
      <c r="E16" s="332"/>
      <c r="F16" s="86"/>
      <c r="U16" s="45" t="s">
        <v>170</v>
      </c>
      <c r="V16" s="49">
        <f>SUMIFS(Camplist_HH,Camplist_Township,Kachin_CCCM_D!$U16,CampList_Status,"Open")</f>
        <v>53</v>
      </c>
      <c r="W16" s="49">
        <f>SUMIFS(Camplist_Popl,Camplist_Township,Kachin_CCCM_D!$U16,CampList_Status,"Open")</f>
        <v>260</v>
      </c>
      <c r="X16" s="50">
        <f>COUNTIFS(Camplist_Township,Kachin_CCCM_D!U16,CampList_Status,"open")</f>
        <v>3</v>
      </c>
      <c r="Y16" s="42"/>
      <c r="Z16" s="42"/>
      <c r="AA16" s="39"/>
      <c r="AB16" s="39"/>
      <c r="AC16" s="44"/>
      <c r="AD16" s="44"/>
      <c r="AE16" s="44"/>
      <c r="AF16" s="44"/>
    </row>
    <row r="17" spans="1:28" ht="15.75">
      <c r="A17" s="59"/>
      <c r="B17" s="59"/>
      <c r="C17" s="331"/>
      <c r="D17" s="332"/>
      <c r="E17" s="332"/>
      <c r="F17" s="86"/>
      <c r="U17" s="45" t="s">
        <v>177</v>
      </c>
      <c r="V17" s="49">
        <f>SUMIFS(Camplist_HH,Camplist_Township,Kachin_CCCM_D!$U17,CampList_Status,"Open")</f>
        <v>45</v>
      </c>
      <c r="W17" s="49">
        <f>SUMIFS(Camplist_Popl,Camplist_Township,Kachin_CCCM_D!$U17,CampList_Status,"Open")</f>
        <v>188</v>
      </c>
      <c r="X17" s="50">
        <f>COUNTIFS(Camplist_Township,Kachin_CCCM_D!U17,CampList_Status,"open")</f>
        <v>3</v>
      </c>
      <c r="Y17" s="42"/>
      <c r="Z17" s="42"/>
      <c r="AA17" s="39"/>
      <c r="AB17" s="39"/>
    </row>
    <row r="18" spans="1:28" ht="15.75">
      <c r="A18" s="59"/>
      <c r="B18" s="59"/>
      <c r="C18" s="331"/>
      <c r="D18" s="332"/>
      <c r="E18" s="332"/>
      <c r="F18" s="86"/>
      <c r="U18" s="45" t="s">
        <v>184</v>
      </c>
      <c r="V18" s="49">
        <f>SUMIFS(Camplist_HH,Camplist_Township,Kachin_CCCM_D!$U18,CampList_Status,"Open")</f>
        <v>34</v>
      </c>
      <c r="W18" s="49">
        <f>SUMIFS(Camplist_Popl,Camplist_Township,Kachin_CCCM_D!$U18,CampList_Status,"Open")</f>
        <v>143</v>
      </c>
      <c r="X18" s="50">
        <f>COUNTIFS(Camplist_Township,Kachin_CCCM_D!U18,CampList_Status,"open")</f>
        <v>3</v>
      </c>
      <c r="Y18" s="42"/>
      <c r="Z18" s="42"/>
      <c r="AA18" s="39"/>
      <c r="AB18" s="39"/>
    </row>
    <row r="19" spans="1:28" ht="15.75">
      <c r="A19" s="59"/>
      <c r="B19" s="59"/>
      <c r="C19" s="331"/>
      <c r="D19" s="332"/>
      <c r="E19" s="332"/>
      <c r="F19" s="86"/>
      <c r="U19" s="91" t="s">
        <v>189</v>
      </c>
      <c r="V19" s="49">
        <f>SUMIFS(Camplist_HH,Camplist_Township,Kachin_CCCM_D!$U19,CampList_Status,"Open")</f>
        <v>5355</v>
      </c>
      <c r="W19" s="49">
        <f>SUMIFS(Camplist_Popl,Camplist_Township,Kachin_CCCM_D!$U19,CampList_Status,"Open")</f>
        <v>25037</v>
      </c>
      <c r="X19" s="50">
        <f>COUNTIFS(Camplist_Township,Kachin_CCCM_D!U19,CampList_Status,"open")</f>
        <v>25</v>
      </c>
      <c r="Z19" s="42"/>
      <c r="AA19" s="39"/>
      <c r="AB19" s="39"/>
    </row>
    <row r="20" spans="1:38" ht="15.75">
      <c r="A20" s="59"/>
      <c r="B20" s="59"/>
      <c r="C20" s="331"/>
      <c r="D20" s="332"/>
      <c r="E20" s="332"/>
      <c r="F20" s="86"/>
      <c r="U20" s="91" t="s">
        <v>432</v>
      </c>
      <c r="V20" s="49">
        <f>SUMIFS(Camplist_HH,Camplist_Township,Kachin_CCCM_D!$U20,CampList_Status,"Open")</f>
        <v>0</v>
      </c>
      <c r="W20" s="49">
        <f>SUMIFS(Camplist_Popl,Camplist_Township,Kachin_CCCM_D!$U20,CampList_Status,"Open")</f>
        <v>0</v>
      </c>
      <c r="X20" s="50">
        <f>COUNTIFS(Camplist_Township,Kachin_CCCM_D!U20,CampList_Status,"open")</f>
        <v>0</v>
      </c>
      <c r="Z20" s="42"/>
      <c r="AA20" s="39"/>
      <c r="AB20" s="39"/>
      <c r="AK20" s="11"/>
      <c r="AL20" s="11"/>
    </row>
    <row r="21" spans="1:38" ht="15.75">
      <c r="A21" s="85"/>
      <c r="B21" s="92"/>
      <c r="C21" s="92"/>
      <c r="D21" s="92"/>
      <c r="E21" s="92"/>
      <c r="F21" s="92"/>
      <c r="U21" s="91" t="s">
        <v>234</v>
      </c>
      <c r="V21" s="49">
        <f>SUMIFS(Camplist_HH,Camplist_Township,Kachin_CCCM_D!$U21,CampList_Status,"Open")</f>
        <v>208</v>
      </c>
      <c r="W21" s="49">
        <f>SUMIFS(Camplist_Popl,Camplist_Township,Kachin_CCCM_D!$U21,CampList_Status,"Open")</f>
        <v>882</v>
      </c>
      <c r="X21" s="50">
        <f>COUNTIFS(Camplist_Township,Kachin_CCCM_D!U21,CampList_Status,"open")</f>
        <v>4</v>
      </c>
      <c r="Z21" s="42"/>
      <c r="AA21" s="39"/>
      <c r="AB21" s="39"/>
      <c r="AK21" s="11"/>
      <c r="AL21" s="11"/>
    </row>
    <row r="22" spans="1:38" ht="15">
      <c r="A22" s="39"/>
      <c r="B22" s="39"/>
      <c r="C22" s="39"/>
      <c r="D22" s="39"/>
      <c r="E22" s="39"/>
      <c r="F22" s="39"/>
      <c r="U22" s="91" t="s">
        <v>241</v>
      </c>
      <c r="V22" s="49">
        <f>SUMIFS(Camplist_HH,Camplist_Township,Kachin_CCCM_D!$U22,CampList_Status,"Open")</f>
        <v>1434</v>
      </c>
      <c r="W22" s="49">
        <f>SUMIFS(Camplist_Popl,Camplist_Township,Kachin_CCCM_D!$U22,CampList_Status,"Open")</f>
        <v>6480</v>
      </c>
      <c r="X22" s="50">
        <f>COUNTIFS(Camplist_Township,Kachin_CCCM_D!U22,CampList_Status,"open")</f>
        <v>25</v>
      </c>
      <c r="Z22" s="42"/>
      <c r="AA22" s="39"/>
      <c r="AB22" s="39"/>
      <c r="AK22" s="11"/>
      <c r="AL22" s="11"/>
    </row>
    <row r="23" spans="1:38" ht="15">
      <c r="A23" s="39"/>
      <c r="B23" s="39"/>
      <c r="C23" s="39"/>
      <c r="D23" s="39"/>
      <c r="E23" s="39"/>
      <c r="F23" s="39"/>
      <c r="U23" s="91" t="s">
        <v>294</v>
      </c>
      <c r="V23" s="49">
        <f>SUMIFS(Camplist_HH,Camplist_Township,Kachin_CCCM_D!$U23,CampList_Status,"Open")</f>
        <v>284</v>
      </c>
      <c r="W23" s="49">
        <f>SUMIFS(Camplist_Popl,Camplist_Township,Kachin_CCCM_D!$U23,CampList_Status,"Open")</f>
        <v>1367</v>
      </c>
      <c r="X23" s="50">
        <f>COUNTIFS(Camplist_Township,Kachin_CCCM_D!U23,CampList_Status,"open")</f>
        <v>7</v>
      </c>
      <c r="Z23" s="39"/>
      <c r="AA23" s="39"/>
      <c r="AB23" s="39"/>
      <c r="AC23" s="44"/>
      <c r="AD23" s="44"/>
      <c r="AE23" s="44"/>
      <c r="AF23" s="44"/>
      <c r="AK23" s="11"/>
      <c r="AL23" s="11"/>
    </row>
    <row r="24" spans="1:38" ht="1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U24" s="91" t="s">
        <v>303</v>
      </c>
      <c r="V24" s="49">
        <f>SUMIFS(Camplist_HH,Camplist_Township,Kachin_CCCM_D!$U24,CampList_Status,"Open")</f>
        <v>18</v>
      </c>
      <c r="W24" s="49">
        <f>SUMIFS(Camplist_Popl,Camplist_Township,Kachin_CCCM_D!$U24,CampList_Status,"Open")</f>
        <v>74</v>
      </c>
      <c r="X24" s="50">
        <f>COUNTIFS(Camplist_Township,Kachin_CCCM_D!U24,CampList_Status,"open")</f>
        <v>1</v>
      </c>
      <c r="Z24" s="61"/>
      <c r="AA24" s="61"/>
      <c r="AB24" s="69" t="s">
        <v>843</v>
      </c>
      <c r="AC24" s="43"/>
      <c r="AD24" s="44"/>
      <c r="AE24" s="44"/>
      <c r="AF24" s="44"/>
      <c r="AK24" s="11"/>
      <c r="AL24" s="11"/>
    </row>
    <row r="25" spans="1:38" ht="1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U25" s="91" t="s">
        <v>306</v>
      </c>
      <c r="V25" s="49">
        <f>SUMIFS(Camplist_HH,Camplist_Township,Kachin_CCCM_D!$U25,CampList_Status,"Open")</f>
        <v>0</v>
      </c>
      <c r="W25" s="49">
        <f>SUMIFS(Camplist_Popl,Camplist_Township,Kachin_CCCM_D!$U25,CampList_Status,"Open")</f>
        <v>0</v>
      </c>
      <c r="X25" s="50">
        <f>COUNTIFS(Camplist_Township,Kachin_CCCM_D!U25,CampList_Status,"open")</f>
        <v>1</v>
      </c>
      <c r="Z25" s="70"/>
      <c r="AA25" s="71"/>
      <c r="AB25" s="72" t="s">
        <v>844</v>
      </c>
      <c r="AC25" s="43"/>
      <c r="AD25" s="44"/>
      <c r="AE25" s="44"/>
      <c r="AF25" s="44"/>
      <c r="AK25" s="11"/>
      <c r="AL25" s="11"/>
    </row>
    <row r="26" spans="21:38" ht="15">
      <c r="U26" s="91" t="s">
        <v>308</v>
      </c>
      <c r="V26" s="49">
        <f>SUMIFS(Camplist_HH,Camplist_Township,Kachin_CCCM_D!$U26,CampList_Status,"Open")</f>
        <v>535</v>
      </c>
      <c r="W26" s="49">
        <f>SUMIFS(Camplist_Popl,Camplist_Township,Kachin_CCCM_D!$U26,CampList_Status,"Open")</f>
        <v>2153</v>
      </c>
      <c r="X26" s="50">
        <f>COUNTIFS(Camplist_Township,Kachin_CCCM_D!U26,CampList_Status,"open")</f>
        <v>4</v>
      </c>
      <c r="Z26" s="70"/>
      <c r="AA26" s="71"/>
      <c r="AB26" s="72"/>
      <c r="AK26" s="11"/>
      <c r="AL26" s="11"/>
    </row>
    <row r="27" spans="1:38" ht="15">
      <c r="A27" s="73"/>
      <c r="B27" s="73"/>
      <c r="C27" s="330"/>
      <c r="D27" s="330"/>
      <c r="E27" s="330"/>
      <c r="F27" s="330"/>
      <c r="G27" s="73"/>
      <c r="H27" s="73"/>
      <c r="I27" s="73"/>
      <c r="U27" s="91" t="s">
        <v>316</v>
      </c>
      <c r="V27" s="49">
        <f>SUMIFS(Camplist_HH,Camplist_Township,Kachin_CCCM_D!$U27,CampList_Status,"Open")</f>
        <v>5769</v>
      </c>
      <c r="W27" s="49">
        <f>SUMIFS(Camplist_Popl,Camplist_Township,Kachin_CCCM_D!$U27,CampList_Status,"Open")</f>
        <v>26775</v>
      </c>
      <c r="X27" s="50">
        <f>COUNTIFS(Camplist_Township,Kachin_CCCM_D!U27,CampList_Status,"open")</f>
        <v>25</v>
      </c>
      <c r="Z27" s="70"/>
      <c r="AA27" s="71"/>
      <c r="AB27" s="72" t="s">
        <v>845</v>
      </c>
      <c r="AK27" s="11"/>
      <c r="AL27" s="11"/>
    </row>
    <row r="28" spans="1:32" ht="15">
      <c r="A28" s="73"/>
      <c r="B28" s="73"/>
      <c r="C28" s="330"/>
      <c r="D28" s="330"/>
      <c r="E28" s="330"/>
      <c r="F28" s="330"/>
      <c r="G28" s="73"/>
      <c r="H28" s="73"/>
      <c r="I28" s="73"/>
      <c r="U28" s="91" t="s">
        <v>5</v>
      </c>
      <c r="V28" s="49">
        <f>SUM(V8:V27)</f>
        <v>18157.6</v>
      </c>
      <c r="W28" s="49">
        <f>SUM(W8:W27)</f>
        <v>82990</v>
      </c>
      <c r="X28" s="49">
        <f aca="true" t="shared" si="3" ref="X28">SUM(X8:X27)</f>
        <v>164</v>
      </c>
      <c r="Z28" s="70"/>
      <c r="AA28" s="71"/>
      <c r="AB28" s="72"/>
      <c r="AE28" s="74"/>
      <c r="AF28" s="74"/>
    </row>
    <row r="29" spans="1:31" ht="15">
      <c r="A29" s="73"/>
      <c r="B29" s="73"/>
      <c r="C29" s="330"/>
      <c r="D29" s="330"/>
      <c r="E29" s="330"/>
      <c r="F29" s="330"/>
      <c r="G29" s="73"/>
      <c r="H29" s="73"/>
      <c r="I29" s="73"/>
      <c r="Z29" s="70"/>
      <c r="AA29" s="71"/>
      <c r="AB29" s="72"/>
      <c r="AE29" s="75" t="s">
        <v>846</v>
      </c>
    </row>
    <row r="30" spans="1:34" ht="15">
      <c r="A30" s="73"/>
      <c r="B30" s="73"/>
      <c r="C30" s="330"/>
      <c r="D30" s="330"/>
      <c r="E30" s="330"/>
      <c r="F30" s="330"/>
      <c r="G30" s="73"/>
      <c r="H30" s="73"/>
      <c r="I30" s="73"/>
      <c r="Z30" s="70"/>
      <c r="AA30" s="71"/>
      <c r="AB30" s="72"/>
      <c r="AE30" s="76" t="s">
        <v>847</v>
      </c>
      <c r="AF30" s="76"/>
      <c r="AG30" s="76"/>
      <c r="AH30" s="77">
        <f>MAX(AJ10:AK15)</f>
        <v>0</v>
      </c>
    </row>
    <row r="31" spans="26:34" ht="15">
      <c r="Z31" s="70"/>
      <c r="AA31" s="71"/>
      <c r="AB31" s="72" t="s">
        <v>848</v>
      </c>
      <c r="AE31" s="76" t="s">
        <v>849</v>
      </c>
      <c r="AH31" s="38">
        <v>0.9</v>
      </c>
    </row>
    <row r="32" spans="22:34" ht="15">
      <c r="V32" s="33" t="s">
        <v>866</v>
      </c>
      <c r="W32" s="33"/>
      <c r="X32" s="33"/>
      <c r="Y32" s="42"/>
      <c r="Z32" s="70"/>
      <c r="AA32" s="71"/>
      <c r="AB32" s="72" t="s">
        <v>850</v>
      </c>
      <c r="AE32" s="76" t="s">
        <v>851</v>
      </c>
      <c r="AH32" s="38">
        <v>8</v>
      </c>
    </row>
    <row r="33" spans="21:34" ht="15">
      <c r="U33" s="45" t="s">
        <v>1</v>
      </c>
      <c r="V33" s="91" t="s">
        <v>860</v>
      </c>
      <c r="W33" s="91" t="s">
        <v>861</v>
      </c>
      <c r="X33" s="91" t="s">
        <v>862</v>
      </c>
      <c r="Y33" s="91" t="s">
        <v>863</v>
      </c>
      <c r="Z33" s="70"/>
      <c r="AA33" s="71"/>
      <c r="AB33" s="72" t="s">
        <v>853</v>
      </c>
      <c r="AE33" s="76"/>
      <c r="AH33" s="38"/>
    </row>
    <row r="34" spans="21:31" ht="15">
      <c r="U34" s="45" t="s">
        <v>7</v>
      </c>
      <c r="V34" s="84">
        <f>COUNTIFS(Camplist_Township,Kachin_CCCM_D!$U34,Camplist_Popl,"&gt;0",Camplist_Popl,"&lt;=1000")</f>
        <v>9</v>
      </c>
      <c r="W34" s="91">
        <f>COUNTIFS(Camplist_Township,Kachin_CCCM_D!$U34,Camplist_Popl,"&gt;1000",Camplist_Popl,"&lt;=5000")</f>
        <v>2</v>
      </c>
      <c r="X34" s="91">
        <f>COUNTIFS(Camplist_Township,Kachin_CCCM_D!$U34,Camplist_Popl,"&gt;5000",Camplist_Popl,"&lt;=10000")</f>
        <v>0</v>
      </c>
      <c r="Y34" s="91">
        <f>COUNTIFS(Camplist_Township,Kachin_CCCM_D!$U34,Camplist_Popl,"&gt;10000")</f>
        <v>0</v>
      </c>
      <c r="Z34" s="70"/>
      <c r="AA34" s="71"/>
      <c r="AB34" s="72" t="s">
        <v>853</v>
      </c>
      <c r="AE34" s="76" t="s">
        <v>854</v>
      </c>
    </row>
    <row r="35" spans="21:28" ht="15">
      <c r="U35" s="45" t="s">
        <v>376</v>
      </c>
      <c r="V35" s="84">
        <f>COUNTIFS(Camplist_Township,Kachin_CCCM_D!$U35,Camplist_Popl,"&gt;0",Camplist_Popl,"&lt;=1000")</f>
        <v>0</v>
      </c>
      <c r="W35" s="91">
        <f>COUNTIFS(Camplist_Township,Kachin_CCCM_D!$U35,Camplist_Popl,"&gt;1000",Camplist_Popl,"&lt;=5000")</f>
        <v>0</v>
      </c>
      <c r="X35" s="91">
        <f>COUNTIFS(Camplist_Township,Kachin_CCCM_D!$U35,Camplist_Popl,"&gt;5000",Camplist_Popl,"&lt;=10000")</f>
        <v>0</v>
      </c>
      <c r="Y35" s="91">
        <f>COUNTIFS(Camplist_Township,Kachin_CCCM_D!$U35,Camplist_Popl,"&gt;10000")</f>
        <v>0</v>
      </c>
      <c r="Z35" s="70"/>
      <c r="AA35" s="71"/>
      <c r="AB35" s="72" t="s">
        <v>855</v>
      </c>
    </row>
    <row r="36" spans="21:28" ht="15">
      <c r="U36" s="45" t="s">
        <v>29</v>
      </c>
      <c r="V36" s="84">
        <f>COUNTIFS(Camplist_Township,Kachin_CCCM_D!$U36,Camplist_Popl,"&gt;0",Camplist_Popl,"&lt;=1000")</f>
        <v>2</v>
      </c>
      <c r="W36" s="91">
        <f>COUNTIFS(Camplist_Township,Kachin_CCCM_D!$U36,Camplist_Popl,"&gt;1000",Camplist_Popl,"&lt;=5000")</f>
        <v>0</v>
      </c>
      <c r="X36" s="91">
        <f>COUNTIFS(Camplist_Township,Kachin_CCCM_D!$U36,Camplist_Popl,"&gt;5000",Camplist_Popl,"&lt;=10000")</f>
        <v>0</v>
      </c>
      <c r="Y36" s="91">
        <f>COUNTIFS(Camplist_Township,Kachin_CCCM_D!$U36,Camplist_Popl,"&gt;10000")</f>
        <v>0</v>
      </c>
      <c r="Z36" s="70"/>
      <c r="AA36" s="71"/>
      <c r="AB36" s="72" t="s">
        <v>856</v>
      </c>
    </row>
    <row r="37" spans="21:28" ht="15">
      <c r="U37" s="45" t="s">
        <v>41</v>
      </c>
      <c r="V37" s="84">
        <f>COUNTIFS(Camplist_Township,Kachin_CCCM_D!$U37,Camplist_Popl,"&gt;0",Camplist_Popl,"&lt;=1000")</f>
        <v>32</v>
      </c>
      <c r="W37" s="91">
        <f>COUNTIFS(Camplist_Township,Kachin_CCCM_D!$U37,Camplist_Popl,"&gt;1000",Camplist_Popl,"&lt;=5000")</f>
        <v>0</v>
      </c>
      <c r="X37" s="91">
        <f>COUNTIFS(Camplist_Township,Kachin_CCCM_D!$U37,Camplist_Popl,"&gt;5000",Camplist_Popl,"&lt;=10000")</f>
        <v>0</v>
      </c>
      <c r="Y37" s="91">
        <f>COUNTIFS(Camplist_Township,Kachin_CCCM_D!$U37,Camplist_Popl,"&gt;10000")</f>
        <v>0</v>
      </c>
      <c r="Z37" s="70"/>
      <c r="AA37" s="71"/>
      <c r="AB37" s="72" t="s">
        <v>857</v>
      </c>
    </row>
    <row r="38" spans="21:28" ht="15">
      <c r="U38" s="45" t="s">
        <v>412</v>
      </c>
      <c r="V38" s="84">
        <f>COUNTIFS(Camplist_Township,Kachin_CCCM_D!$U38,Camplist_Popl,"&gt;0",Camplist_Popl,"&lt;=1000")</f>
        <v>0</v>
      </c>
      <c r="W38" s="91">
        <f>COUNTIFS(Camplist_Township,Kachin_CCCM_D!$U38,Camplist_Popl,"&gt;1000",Camplist_Popl,"&lt;=5000")</f>
        <v>0</v>
      </c>
      <c r="X38" s="91">
        <f>COUNTIFS(Camplist_Township,Kachin_CCCM_D!$U38,Camplist_Popl,"&gt;5000",Camplist_Popl,"&lt;=10000")</f>
        <v>0</v>
      </c>
      <c r="Y38" s="91">
        <f>COUNTIFS(Camplist_Township,Kachin_CCCM_D!$U38,Camplist_Popl,"&gt;10000")</f>
        <v>0</v>
      </c>
      <c r="Z38" s="70"/>
      <c r="AA38" s="71"/>
      <c r="AB38" s="72" t="s">
        <v>858</v>
      </c>
    </row>
    <row r="39" spans="21:28" ht="15">
      <c r="U39" s="45" t="s">
        <v>148</v>
      </c>
      <c r="V39" s="84">
        <f>COUNTIFS(Camplist_Township,Kachin_CCCM_D!$U39,Camplist_Popl,"&gt;0",Camplist_Popl,"&lt;=1000")</f>
        <v>1</v>
      </c>
      <c r="W39" s="91">
        <f>COUNTIFS(Camplist_Township,Kachin_CCCM_D!$U39,Camplist_Popl,"&gt;1000",Camplist_Popl,"&lt;=5000")</f>
        <v>0</v>
      </c>
      <c r="X39" s="91">
        <f>COUNTIFS(Camplist_Township,Kachin_CCCM_D!$U39,Camplist_Popl,"&gt;5000",Camplist_Popl,"&lt;=10000")</f>
        <v>0</v>
      </c>
      <c r="Y39" s="91">
        <f>COUNTIFS(Camplist_Township,Kachin_CCCM_D!$U39,Camplist_Popl,"&gt;10000")</f>
        <v>0</v>
      </c>
      <c r="Z39" s="70"/>
      <c r="AA39" s="71"/>
      <c r="AB39" s="72" t="s">
        <v>858</v>
      </c>
    </row>
    <row r="40" spans="21:28" ht="15">
      <c r="U40" s="45" t="s">
        <v>150</v>
      </c>
      <c r="V40" s="84">
        <f>COUNTIFS(Camplist_Township,Kachin_CCCM_D!$U40,Camplist_Popl,"&gt;0",Camplist_Popl,"&lt;=1000")</f>
        <v>2</v>
      </c>
      <c r="W40" s="91">
        <f>COUNTIFS(Camplist_Township,Kachin_CCCM_D!$U40,Camplist_Popl,"&gt;1000",Camplist_Popl,"&lt;=5000")</f>
        <v>0</v>
      </c>
      <c r="X40" s="91">
        <f>COUNTIFS(Camplist_Township,Kachin_CCCM_D!$U40,Camplist_Popl,"&gt;5000",Camplist_Popl,"&lt;=10000")</f>
        <v>0</v>
      </c>
      <c r="Y40" s="91">
        <f>COUNTIFS(Camplist_Township,Kachin_CCCM_D!$U40,Camplist_Popl,"&gt;10000")</f>
        <v>0</v>
      </c>
      <c r="Z40" s="39"/>
      <c r="AA40" s="39"/>
      <c r="AB40" s="39"/>
    </row>
    <row r="41" spans="21:28" ht="15">
      <c r="U41" s="45" t="s">
        <v>155</v>
      </c>
      <c r="V41" s="84">
        <f>COUNTIFS(Camplist_Township,Kachin_CCCM_D!$U41,Camplist_Popl,"&gt;0",Camplist_Popl,"&lt;=1000")</f>
        <v>8</v>
      </c>
      <c r="W41" s="91">
        <f>COUNTIFS(Camplist_Township,Kachin_CCCM_D!$U41,Camplist_Popl,"&gt;1000",Camplist_Popl,"&lt;=5000")</f>
        <v>3</v>
      </c>
      <c r="X41" s="91">
        <f>COUNTIFS(Camplist_Township,Kachin_CCCM_D!$U41,Camplist_Popl,"&gt;5000",Camplist_Popl,"&lt;=10000")</f>
        <v>0</v>
      </c>
      <c r="Y41" s="91">
        <f>COUNTIFS(Camplist_Township,Kachin_CCCM_D!$U41,Camplist_Popl,"&gt;10000")</f>
        <v>0</v>
      </c>
      <c r="Z41" s="39"/>
      <c r="AA41" s="39"/>
      <c r="AB41" s="39"/>
    </row>
    <row r="42" spans="21:28" ht="15">
      <c r="U42" s="45" t="s">
        <v>170</v>
      </c>
      <c r="V42" s="84">
        <f>COUNTIFS(Camplist_Township,Kachin_CCCM_D!$U42,Camplist_Popl,"&gt;0",Camplist_Popl,"&lt;=1000")</f>
        <v>1</v>
      </c>
      <c r="W42" s="91">
        <f>COUNTIFS(Camplist_Township,Kachin_CCCM_D!$U42,Camplist_Popl,"&gt;1000",Camplist_Popl,"&lt;=5000")</f>
        <v>0</v>
      </c>
      <c r="X42" s="91">
        <f>COUNTIFS(Camplist_Township,Kachin_CCCM_D!$U42,Camplist_Popl,"&gt;5000",Camplist_Popl,"&lt;=10000")</f>
        <v>0</v>
      </c>
      <c r="Y42" s="91">
        <f>COUNTIFS(Camplist_Township,Kachin_CCCM_D!$U42,Camplist_Popl,"&gt;10000")</f>
        <v>0</v>
      </c>
      <c r="Z42" s="39"/>
      <c r="AA42" s="39"/>
      <c r="AB42" s="39"/>
    </row>
    <row r="43" spans="21:28" ht="15">
      <c r="U43" s="45" t="s">
        <v>177</v>
      </c>
      <c r="V43" s="84">
        <f>COUNTIFS(Camplist_Township,Kachin_CCCM_D!$U43,Camplist_Popl,"&gt;0",Camplist_Popl,"&lt;=1000")</f>
        <v>3</v>
      </c>
      <c r="W43" s="91">
        <f>COUNTIFS(Camplist_Township,Kachin_CCCM_D!$U43,Camplist_Popl,"&gt;1000",Camplist_Popl,"&lt;=5000")</f>
        <v>0</v>
      </c>
      <c r="X43" s="91">
        <f>COUNTIFS(Camplist_Township,Kachin_CCCM_D!$U43,Camplist_Popl,"&gt;5000",Camplist_Popl,"&lt;=10000")</f>
        <v>0</v>
      </c>
      <c r="Y43" s="91">
        <f>COUNTIFS(Camplist_Township,Kachin_CCCM_D!$U43,Camplist_Popl,"&gt;10000")</f>
        <v>0</v>
      </c>
      <c r="Z43" s="39"/>
      <c r="AA43" s="39"/>
      <c r="AB43" s="39"/>
    </row>
    <row r="44" spans="21:28" ht="15">
      <c r="U44" s="45" t="s">
        <v>184</v>
      </c>
      <c r="V44" s="84">
        <f>COUNTIFS(Camplist_Township,Kachin_CCCM_D!$U44,Camplist_Popl,"&gt;0",Camplist_Popl,"&lt;=1000")</f>
        <v>2</v>
      </c>
      <c r="W44" s="91">
        <f>COUNTIFS(Camplist_Township,Kachin_CCCM_D!$U44,Camplist_Popl,"&gt;1000",Camplist_Popl,"&lt;=5000")</f>
        <v>0</v>
      </c>
      <c r="X44" s="91">
        <f>COUNTIFS(Camplist_Township,Kachin_CCCM_D!$U44,Camplist_Popl,"&gt;5000",Camplist_Popl,"&lt;=10000")</f>
        <v>0</v>
      </c>
      <c r="Y44" s="91">
        <f>COUNTIFS(Camplist_Township,Kachin_CCCM_D!$U44,Camplist_Popl,"&gt;10000")</f>
        <v>0</v>
      </c>
      <c r="Z44" s="39"/>
      <c r="AA44" s="39"/>
      <c r="AB44" s="39"/>
    </row>
    <row r="45" spans="21:28" ht="15">
      <c r="U45" s="91" t="s">
        <v>189</v>
      </c>
      <c r="V45" s="84">
        <f>COUNTIFS(Camplist_Township,Kachin_CCCM_D!$U45,Camplist_Popl,"&gt;0",Camplist_Popl,"&lt;=1000")</f>
        <v>16</v>
      </c>
      <c r="W45" s="91">
        <f>COUNTIFS(Camplist_Township,Kachin_CCCM_D!$U45,Camplist_Popl,"&gt;1000",Camplist_Popl,"&lt;=5000")</f>
        <v>7</v>
      </c>
      <c r="X45" s="91">
        <f>COUNTIFS(Camplist_Township,Kachin_CCCM_D!$U45,Camplist_Popl,"&gt;5000",Camplist_Popl,"&lt;=10000")</f>
        <v>1</v>
      </c>
      <c r="Y45" s="91">
        <f>COUNTIFS(Camplist_Township,Kachin_CCCM_D!$U45,Camplist_Popl,"&gt;10000")</f>
        <v>0</v>
      </c>
      <c r="Z45" s="39"/>
      <c r="AA45" s="39"/>
      <c r="AB45" s="39"/>
    </row>
    <row r="46" spans="21:28" ht="15">
      <c r="U46" s="91" t="s">
        <v>432</v>
      </c>
      <c r="V46" s="84">
        <f>COUNTIFS(Camplist_Township,Kachin_CCCM_D!$U46,Camplist_Popl,"&gt;0",Camplist_Popl,"&lt;=1000")</f>
        <v>0</v>
      </c>
      <c r="W46" s="91">
        <f>COUNTIFS(Camplist_Township,Kachin_CCCM_D!$U46,Camplist_Popl,"&gt;1000",Camplist_Popl,"&lt;=5000")</f>
        <v>0</v>
      </c>
      <c r="X46" s="91">
        <f>COUNTIFS(Camplist_Township,Kachin_CCCM_D!$U46,Camplist_Popl,"&gt;5000",Camplist_Popl,"&lt;=10000")</f>
        <v>0</v>
      </c>
      <c r="Y46" s="91">
        <f>COUNTIFS(Camplist_Township,Kachin_CCCM_D!$U46,Camplist_Popl,"&gt;10000")</f>
        <v>0</v>
      </c>
      <c r="Z46" s="39"/>
      <c r="AA46" s="39"/>
      <c r="AB46" s="39"/>
    </row>
    <row r="47" spans="21:28" ht="15">
      <c r="U47" s="91" t="s">
        <v>234</v>
      </c>
      <c r="V47" s="84">
        <f>COUNTIFS(Camplist_Township,Kachin_CCCM_D!$U47,Camplist_Popl,"&gt;0",Camplist_Popl,"&lt;=1000")</f>
        <v>3</v>
      </c>
      <c r="W47" s="91">
        <f>COUNTIFS(Camplist_Township,Kachin_CCCM_D!$U47,Camplist_Popl,"&gt;1000",Camplist_Popl,"&lt;=5000")</f>
        <v>0</v>
      </c>
      <c r="X47" s="91">
        <f>COUNTIFS(Camplist_Township,Kachin_CCCM_D!$U47,Camplist_Popl,"&gt;5000",Camplist_Popl,"&lt;=10000")</f>
        <v>0</v>
      </c>
      <c r="Y47" s="91">
        <f>COUNTIFS(Camplist_Township,Kachin_CCCM_D!$U47,Camplist_Popl,"&gt;10000")</f>
        <v>0</v>
      </c>
      <c r="Z47" s="39"/>
      <c r="AA47" s="39"/>
      <c r="AB47" s="39"/>
    </row>
    <row r="48" spans="21:28" ht="15">
      <c r="U48" s="91" t="s">
        <v>241</v>
      </c>
      <c r="V48" s="84">
        <f>COUNTIFS(Camplist_Township,Kachin_CCCM_D!$U48,Camplist_Popl,"&gt;0",Camplist_Popl,"&lt;=1000")</f>
        <v>25</v>
      </c>
      <c r="W48" s="91">
        <f>COUNTIFS(Camplist_Township,Kachin_CCCM_D!$U48,Camplist_Popl,"&gt;1000",Camplist_Popl,"&lt;=5000")</f>
        <v>0</v>
      </c>
      <c r="X48" s="91">
        <f>COUNTIFS(Camplist_Township,Kachin_CCCM_D!$U48,Camplist_Popl,"&gt;5000",Camplist_Popl,"&lt;=10000")</f>
        <v>0</v>
      </c>
      <c r="Y48" s="91">
        <f>COUNTIFS(Camplist_Township,Kachin_CCCM_D!$U48,Camplist_Popl,"&gt;10000")</f>
        <v>0</v>
      </c>
      <c r="Z48" s="39"/>
      <c r="AA48" s="39"/>
      <c r="AB48" s="39"/>
    </row>
    <row r="49" spans="21:28" ht="15">
      <c r="U49" s="91" t="s">
        <v>294</v>
      </c>
      <c r="V49" s="84">
        <f>COUNTIFS(Camplist_Township,Kachin_CCCM_D!$U49,Camplist_Popl,"&gt;0",Camplist_Popl,"&lt;=1000")</f>
        <v>5</v>
      </c>
      <c r="W49" s="91">
        <f>COUNTIFS(Camplist_Township,Kachin_CCCM_D!$U49,Camplist_Popl,"&gt;1000",Camplist_Popl,"&lt;=5000")</f>
        <v>0</v>
      </c>
      <c r="X49" s="91">
        <f>COUNTIFS(Camplist_Township,Kachin_CCCM_D!$U49,Camplist_Popl,"&gt;5000",Camplist_Popl,"&lt;=10000")</f>
        <v>0</v>
      </c>
      <c r="Y49" s="91">
        <f>COUNTIFS(Camplist_Township,Kachin_CCCM_D!$U49,Camplist_Popl,"&gt;10000")</f>
        <v>0</v>
      </c>
      <c r="Z49" s="39"/>
      <c r="AA49" s="39"/>
      <c r="AB49" s="39"/>
    </row>
    <row r="50" spans="21:28" ht="15">
      <c r="U50" s="91" t="s">
        <v>303</v>
      </c>
      <c r="V50" s="84">
        <f>COUNTIFS(Camplist_Township,Kachin_CCCM_D!$U50,Camplist_Popl,"&gt;0",Camplist_Popl,"&lt;=1000")</f>
        <v>1</v>
      </c>
      <c r="W50" s="91">
        <f>COUNTIFS(Camplist_Township,Kachin_CCCM_D!$U50,Camplist_Popl,"&gt;1000",Camplist_Popl,"&lt;=5000")</f>
        <v>0</v>
      </c>
      <c r="X50" s="91">
        <f>COUNTIFS(Camplist_Township,Kachin_CCCM_D!$U50,Camplist_Popl,"&gt;5000",Camplist_Popl,"&lt;=10000")</f>
        <v>0</v>
      </c>
      <c r="Y50" s="91">
        <f>COUNTIFS(Camplist_Township,Kachin_CCCM_D!$U50,Camplist_Popl,"&gt;10000")</f>
        <v>0</v>
      </c>
      <c r="Z50" s="39"/>
      <c r="AA50" s="39"/>
      <c r="AB50" s="39"/>
    </row>
    <row r="51" spans="21:25" ht="15">
      <c r="U51" s="91" t="s">
        <v>306</v>
      </c>
      <c r="V51" s="84">
        <f>COUNTIFS(Camplist_Township,Kachin_CCCM_D!$U51,Camplist_Popl,"&gt;0",Camplist_Popl,"&lt;=1000")</f>
        <v>0</v>
      </c>
      <c r="W51" s="91">
        <f>COUNTIFS(Camplist_Township,Kachin_CCCM_D!$U51,Camplist_Popl,"&gt;1000",Camplist_Popl,"&lt;=5000")</f>
        <v>0</v>
      </c>
      <c r="X51" s="91">
        <f>COUNTIFS(Camplist_Township,Kachin_CCCM_D!$U51,Camplist_Popl,"&gt;5000",Camplist_Popl,"&lt;=10000")</f>
        <v>0</v>
      </c>
      <c r="Y51" s="91">
        <f>COUNTIFS(Camplist_Township,Kachin_CCCM_D!$U51,Camplist_Popl,"&gt;10000")</f>
        <v>0</v>
      </c>
    </row>
    <row r="52" spans="21:25" ht="15">
      <c r="U52" s="91" t="s">
        <v>308</v>
      </c>
      <c r="V52" s="84">
        <f>COUNTIFS(Camplist_Township,Kachin_CCCM_D!$U52,Camplist_Popl,"&gt;0",Camplist_Popl,"&lt;=1000")</f>
        <v>3</v>
      </c>
      <c r="W52" s="91">
        <f>COUNTIFS(Camplist_Township,Kachin_CCCM_D!$U52,Camplist_Popl,"&gt;1000",Camplist_Popl,"&lt;=5000")</f>
        <v>1</v>
      </c>
      <c r="X52" s="91">
        <f>COUNTIFS(Camplist_Township,Kachin_CCCM_D!$U52,Camplist_Popl,"&gt;5000",Camplist_Popl,"&lt;=10000")</f>
        <v>0</v>
      </c>
      <c r="Y52" s="91">
        <f>COUNTIFS(Camplist_Township,Kachin_CCCM_D!$U52,Camplist_Popl,"&gt;10000")</f>
        <v>0</v>
      </c>
    </row>
    <row r="53" spans="21:25" ht="15">
      <c r="U53" s="91" t="s">
        <v>316</v>
      </c>
      <c r="V53" s="84">
        <f>COUNTIFS(Camplist_Township,Kachin_CCCM_D!$U53,Camplist_Popl,"&gt;0",Camplist_Popl,"&lt;=1000")</f>
        <v>16</v>
      </c>
      <c r="W53" s="91">
        <f>COUNTIFS(Camplist_Township,Kachin_CCCM_D!$U53,Camplist_Popl,"&gt;1000",Camplist_Popl,"&lt;=5000")</f>
        <v>8</v>
      </c>
      <c r="X53" s="91">
        <f>COUNTIFS(Camplist_Township,Kachin_CCCM_D!$U53,Camplist_Popl,"&gt;5000",Camplist_Popl,"&lt;=10000")</f>
        <v>0</v>
      </c>
      <c r="Y53" s="91">
        <f>COUNTIFS(Camplist_Township,Kachin_CCCM_D!$U53,Camplist_Popl,"&gt;10000")</f>
        <v>0</v>
      </c>
    </row>
    <row r="54" spans="21:25" ht="15">
      <c r="U54" s="91" t="s">
        <v>5</v>
      </c>
      <c r="V54" s="91">
        <f>SUM(V34:V53)</f>
        <v>129</v>
      </c>
      <c r="W54" s="91">
        <f aca="true" t="shared" si="4" ref="W54:Y54">SUM(W34:W53)</f>
        <v>21</v>
      </c>
      <c r="X54" s="91">
        <f t="shared" si="4"/>
        <v>1</v>
      </c>
      <c r="Y54" s="91">
        <f t="shared" si="4"/>
        <v>0</v>
      </c>
    </row>
    <row r="57" spans="21:25" ht="15">
      <c r="U57" s="45" t="s">
        <v>1</v>
      </c>
      <c r="V57" s="91" t="s">
        <v>860</v>
      </c>
      <c r="W57" s="91" t="s">
        <v>861</v>
      </c>
      <c r="X57" s="91" t="s">
        <v>862</v>
      </c>
      <c r="Y57" s="91" t="s">
        <v>863</v>
      </c>
    </row>
    <row r="58" spans="21:25" ht="15">
      <c r="U58" s="45" t="s">
        <v>7</v>
      </c>
      <c r="V58" s="103">
        <f aca="true" t="shared" si="5" ref="V58:V77">SUMIFS(Camplist_Popl,Camplist_Township,U58,Camplist_Popl,"&gt;0",Camplist_Popl,"&lt;=1000")</f>
        <v>2005</v>
      </c>
      <c r="W58" s="91">
        <f>SUMIFS(Camplist_Popl,Camplist_Township,U58,Camplist_Popl,"&gt;1000",Camplist_Popl,"&lt;=5000")</f>
        <v>3763</v>
      </c>
      <c r="X58" s="91">
        <f>SUMIFS(Camplist_Popl,Camplist_Township,U58,Camplist_Popl,"&gt;5000",Camplist_Popl,"&lt;=10000")</f>
        <v>0</v>
      </c>
      <c r="Y58" s="91">
        <f>SUMIFS(Camplist_Popl,Camplist_Township,U58,Camplist_Popl,"&gt;10000")</f>
        <v>0</v>
      </c>
    </row>
    <row r="59" spans="21:25" ht="15">
      <c r="U59" s="45" t="s">
        <v>376</v>
      </c>
      <c r="V59" s="103">
        <f t="shared" si="5"/>
        <v>0</v>
      </c>
      <c r="W59" s="91">
        <f aca="true" t="shared" si="6" ref="W59:W77">SUMIFS(Camplist_Popl,Camplist_Township,U59,Camplist_Popl,"&gt;1000",Camplist_Popl,"&lt;=5000")</f>
        <v>0</v>
      </c>
      <c r="X59" s="91">
        <f aca="true" t="shared" si="7" ref="X59:X77">SUMIFS(Camplist_Popl,Camplist_Township,U59,Camplist_Popl,"&gt;5000",Camplist_Popl,"&lt;=10000")</f>
        <v>0</v>
      </c>
      <c r="Y59" s="91">
        <f aca="true" t="shared" si="8" ref="Y59:Y77">SUMIFS(Camplist_Popl,Camplist_Township,U59,Camplist_Popl,"&gt;10000")</f>
        <v>0</v>
      </c>
    </row>
    <row r="60" spans="21:25" ht="15">
      <c r="U60" s="45" t="s">
        <v>29</v>
      </c>
      <c r="V60" s="103">
        <f t="shared" si="5"/>
        <v>830</v>
      </c>
      <c r="W60" s="91">
        <f t="shared" si="6"/>
        <v>0</v>
      </c>
      <c r="X60" s="91">
        <f>SUMIFS(Camplist_Popl,Camplist_Township,U60,Camplist_Popl,"&gt;5000",Camplist_Popl,"&lt;=10000")</f>
        <v>0</v>
      </c>
      <c r="Y60" s="91">
        <f t="shared" si="8"/>
        <v>0</v>
      </c>
    </row>
    <row r="61" spans="21:25" ht="15">
      <c r="U61" s="45" t="s">
        <v>41</v>
      </c>
      <c r="V61" s="103">
        <f t="shared" si="5"/>
        <v>5872</v>
      </c>
      <c r="W61" s="91">
        <f t="shared" si="6"/>
        <v>0</v>
      </c>
      <c r="X61" s="91">
        <f t="shared" si="7"/>
        <v>0</v>
      </c>
      <c r="Y61" s="91">
        <f t="shared" si="8"/>
        <v>0</v>
      </c>
    </row>
    <row r="62" spans="21:25" ht="15">
      <c r="U62" s="45" t="s">
        <v>412</v>
      </c>
      <c r="V62" s="103">
        <f t="shared" si="5"/>
        <v>0</v>
      </c>
      <c r="W62" s="91">
        <f t="shared" si="6"/>
        <v>0</v>
      </c>
      <c r="X62" s="91">
        <f t="shared" si="7"/>
        <v>0</v>
      </c>
      <c r="Y62" s="91">
        <f t="shared" si="8"/>
        <v>0</v>
      </c>
    </row>
    <row r="63" spans="21:25" ht="15">
      <c r="U63" s="45" t="s">
        <v>148</v>
      </c>
      <c r="V63" s="103">
        <f t="shared" si="5"/>
        <v>107</v>
      </c>
      <c r="W63" s="91">
        <f t="shared" si="6"/>
        <v>0</v>
      </c>
      <c r="X63" s="91">
        <f t="shared" si="7"/>
        <v>0</v>
      </c>
      <c r="Y63" s="91">
        <f t="shared" si="8"/>
        <v>0</v>
      </c>
    </row>
    <row r="64" spans="21:25" ht="15">
      <c r="U64" s="45" t="s">
        <v>150</v>
      </c>
      <c r="V64" s="103">
        <f t="shared" si="5"/>
        <v>571</v>
      </c>
      <c r="W64" s="91">
        <f t="shared" si="6"/>
        <v>0</v>
      </c>
      <c r="X64" s="91">
        <f t="shared" si="7"/>
        <v>0</v>
      </c>
      <c r="Y64" s="91">
        <f t="shared" si="8"/>
        <v>0</v>
      </c>
    </row>
    <row r="65" spans="21:25" ht="15">
      <c r="U65" s="45" t="s">
        <v>155</v>
      </c>
      <c r="V65" s="103">
        <f t="shared" si="5"/>
        <v>3460</v>
      </c>
      <c r="W65" s="91">
        <f t="shared" si="6"/>
        <v>3826</v>
      </c>
      <c r="X65" s="91">
        <f t="shared" si="7"/>
        <v>0</v>
      </c>
      <c r="Y65" s="91">
        <f t="shared" si="8"/>
        <v>0</v>
      </c>
    </row>
    <row r="66" spans="21:25" ht="15">
      <c r="U66" s="45" t="s">
        <v>170</v>
      </c>
      <c r="V66" s="103">
        <f t="shared" si="5"/>
        <v>260</v>
      </c>
      <c r="W66" s="91">
        <f t="shared" si="6"/>
        <v>0</v>
      </c>
      <c r="X66" s="91">
        <f t="shared" si="7"/>
        <v>0</v>
      </c>
      <c r="Y66" s="91">
        <f t="shared" si="8"/>
        <v>0</v>
      </c>
    </row>
    <row r="67" spans="21:25" ht="15">
      <c r="U67" s="45" t="s">
        <v>177</v>
      </c>
      <c r="V67" s="103">
        <f t="shared" si="5"/>
        <v>188</v>
      </c>
      <c r="W67" s="91">
        <f t="shared" si="6"/>
        <v>0</v>
      </c>
      <c r="X67" s="91">
        <f t="shared" si="7"/>
        <v>0</v>
      </c>
      <c r="Y67" s="91">
        <f t="shared" si="8"/>
        <v>0</v>
      </c>
    </row>
    <row r="68" spans="21:25" ht="15">
      <c r="U68" s="45" t="s">
        <v>184</v>
      </c>
      <c r="V68" s="103">
        <f t="shared" si="5"/>
        <v>143</v>
      </c>
      <c r="W68" s="91">
        <f t="shared" si="6"/>
        <v>0</v>
      </c>
      <c r="X68" s="91">
        <f t="shared" si="7"/>
        <v>0</v>
      </c>
      <c r="Y68" s="91">
        <f t="shared" si="8"/>
        <v>0</v>
      </c>
    </row>
    <row r="69" spans="21:25" ht="15">
      <c r="U69" s="91" t="s">
        <v>189</v>
      </c>
      <c r="V69" s="103">
        <f t="shared" si="5"/>
        <v>3480</v>
      </c>
      <c r="W69" s="91">
        <f t="shared" si="6"/>
        <v>13111</v>
      </c>
      <c r="X69" s="91">
        <f t="shared" si="7"/>
        <v>8446</v>
      </c>
      <c r="Y69" s="91">
        <f t="shared" si="8"/>
        <v>0</v>
      </c>
    </row>
    <row r="70" spans="21:25" ht="15">
      <c r="U70" s="91" t="s">
        <v>432</v>
      </c>
      <c r="V70" s="103">
        <f t="shared" si="5"/>
        <v>0</v>
      </c>
      <c r="W70" s="91">
        <f t="shared" si="6"/>
        <v>0</v>
      </c>
      <c r="X70" s="91">
        <f t="shared" si="7"/>
        <v>0</v>
      </c>
      <c r="Y70" s="91">
        <f t="shared" si="8"/>
        <v>0</v>
      </c>
    </row>
    <row r="71" spans="21:25" ht="15">
      <c r="U71" s="91" t="s">
        <v>234</v>
      </c>
      <c r="V71" s="103">
        <f t="shared" si="5"/>
        <v>882</v>
      </c>
      <c r="W71" s="91">
        <f t="shared" si="6"/>
        <v>0</v>
      </c>
      <c r="X71" s="91">
        <f t="shared" si="7"/>
        <v>0</v>
      </c>
      <c r="Y71" s="91">
        <f t="shared" si="8"/>
        <v>0</v>
      </c>
    </row>
    <row r="72" spans="21:25" ht="15">
      <c r="U72" s="91" t="s">
        <v>241</v>
      </c>
      <c r="V72" s="103">
        <f t="shared" si="5"/>
        <v>6480</v>
      </c>
      <c r="W72" s="91">
        <f t="shared" si="6"/>
        <v>0</v>
      </c>
      <c r="X72" s="91">
        <f t="shared" si="7"/>
        <v>0</v>
      </c>
      <c r="Y72" s="91">
        <f t="shared" si="8"/>
        <v>0</v>
      </c>
    </row>
    <row r="73" spans="21:25" ht="15">
      <c r="U73" s="91" t="s">
        <v>294</v>
      </c>
      <c r="V73" s="103">
        <f t="shared" si="5"/>
        <v>1367</v>
      </c>
      <c r="W73" s="91">
        <f t="shared" si="6"/>
        <v>0</v>
      </c>
      <c r="X73" s="91">
        <f t="shared" si="7"/>
        <v>0</v>
      </c>
      <c r="Y73" s="91">
        <f t="shared" si="8"/>
        <v>0</v>
      </c>
    </row>
    <row r="74" spans="21:25" ht="15">
      <c r="U74" s="91" t="s">
        <v>303</v>
      </c>
      <c r="V74" s="103">
        <f t="shared" si="5"/>
        <v>74</v>
      </c>
      <c r="W74" s="91">
        <f t="shared" si="6"/>
        <v>0</v>
      </c>
      <c r="X74" s="91">
        <f t="shared" si="7"/>
        <v>0</v>
      </c>
      <c r="Y74" s="91">
        <f t="shared" si="8"/>
        <v>0</v>
      </c>
    </row>
    <row r="75" spans="21:25" ht="15">
      <c r="U75" s="91" t="s">
        <v>306</v>
      </c>
      <c r="V75" s="103">
        <f t="shared" si="5"/>
        <v>0</v>
      </c>
      <c r="W75" s="91">
        <f t="shared" si="6"/>
        <v>0</v>
      </c>
      <c r="X75" s="91">
        <f t="shared" si="7"/>
        <v>0</v>
      </c>
      <c r="Y75" s="91">
        <f t="shared" si="8"/>
        <v>0</v>
      </c>
    </row>
    <row r="76" spans="21:25" ht="15">
      <c r="U76" s="91" t="s">
        <v>308</v>
      </c>
      <c r="V76" s="103">
        <f t="shared" si="5"/>
        <v>462</v>
      </c>
      <c r="W76" s="91">
        <f t="shared" si="6"/>
        <v>1691</v>
      </c>
      <c r="X76" s="91">
        <f t="shared" si="7"/>
        <v>0</v>
      </c>
      <c r="Y76" s="91">
        <f t="shared" si="8"/>
        <v>0</v>
      </c>
    </row>
    <row r="77" spans="21:25" ht="15">
      <c r="U77" s="91" t="s">
        <v>316</v>
      </c>
      <c r="V77" s="103">
        <f t="shared" si="5"/>
        <v>6431</v>
      </c>
      <c r="W77" s="91">
        <f t="shared" si="6"/>
        <v>20344</v>
      </c>
      <c r="X77" s="91">
        <f t="shared" si="7"/>
        <v>0</v>
      </c>
      <c r="Y77" s="91">
        <f t="shared" si="8"/>
        <v>0</v>
      </c>
    </row>
    <row r="78" spans="21:25" ht="15">
      <c r="U78" s="91" t="s">
        <v>5</v>
      </c>
      <c r="V78" s="91">
        <f>SUM(V58:V77)</f>
        <v>32612</v>
      </c>
      <c r="W78" s="91">
        <f aca="true" t="shared" si="9" ref="W78:Y78">SUM(W58:W77)</f>
        <v>42735</v>
      </c>
      <c r="X78" s="91">
        <f t="shared" si="9"/>
        <v>8446</v>
      </c>
      <c r="Y78" s="91">
        <f t="shared" si="9"/>
        <v>0</v>
      </c>
    </row>
    <row r="79" spans="21:25" ht="15">
      <c r="U79" s="45" t="s">
        <v>867</v>
      </c>
      <c r="V79" s="269">
        <f>V78/$W$28</f>
        <v>0.39296300759127606</v>
      </c>
      <c r="W79" s="93">
        <f>W78/$W$28</f>
        <v>0.5149415592240029</v>
      </c>
      <c r="X79" s="93">
        <f>X78/$W$28</f>
        <v>0.10177129774671648</v>
      </c>
      <c r="Y79" s="93">
        <f>Y78/$W$28</f>
        <v>0</v>
      </c>
    </row>
    <row r="94" spans="31:33" ht="15">
      <c r="AE94" s="38"/>
      <c r="AF94" s="38"/>
      <c r="AG94" s="38"/>
    </row>
    <row r="95" spans="31:32" ht="15">
      <c r="AE95" s="38"/>
      <c r="AF95" s="38"/>
    </row>
    <row r="96" spans="31:32" ht="15">
      <c r="AE96" s="38"/>
      <c r="AF96" s="38"/>
    </row>
  </sheetData>
  <mergeCells count="33">
    <mergeCell ref="AH9:AI9"/>
    <mergeCell ref="AH10:AI10"/>
    <mergeCell ref="C11:E11"/>
    <mergeCell ref="P5:S5"/>
    <mergeCell ref="AH11:AI11"/>
    <mergeCell ref="P6:P7"/>
    <mergeCell ref="Q6:Q7"/>
    <mergeCell ref="R6:R7"/>
    <mergeCell ref="S6:S7"/>
    <mergeCell ref="AH15:AI15"/>
    <mergeCell ref="C12:E12"/>
    <mergeCell ref="C16:E16"/>
    <mergeCell ref="C17:E17"/>
    <mergeCell ref="C18:E18"/>
    <mergeCell ref="AH12:AI12"/>
    <mergeCell ref="C13:E13"/>
    <mergeCell ref="AH13:AI13"/>
    <mergeCell ref="C14:E14"/>
    <mergeCell ref="AH14:AI14"/>
    <mergeCell ref="C29:D29"/>
    <mergeCell ref="E29:F29"/>
    <mergeCell ref="C30:D30"/>
    <mergeCell ref="E30:F30"/>
    <mergeCell ref="C27:D27"/>
    <mergeCell ref="E27:F27"/>
    <mergeCell ref="A1:T1"/>
    <mergeCell ref="A2:T2"/>
    <mergeCell ref="A3:C3"/>
    <mergeCell ref="C28:D28"/>
    <mergeCell ref="E28:F28"/>
    <mergeCell ref="C15:E15"/>
    <mergeCell ref="C19:E19"/>
    <mergeCell ref="C20:E20"/>
  </mergeCells>
  <conditionalFormatting sqref="P8:S8">
    <cfRule type="dataBar" priority="6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{48264DF9-DDE3-4B92-9921-17F85D71C4D9}</x14:id>
        </ext>
      </extLst>
    </cfRule>
  </conditionalFormatting>
  <conditionalFormatting sqref="P9:S9">
    <cfRule type="dataBar" priority="5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{83FF87DB-4AF0-4757-A50F-701789E158D8}</x14:id>
        </ext>
      </extLst>
    </cfRule>
  </conditionalFormatting>
  <conditionalFormatting sqref="P10:S10">
    <cfRule type="dataBar" priority="4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{F174D678-78A6-4A64-A3E5-2C9B0199D5F0}</x14:id>
        </ext>
      </extLst>
    </cfRule>
  </conditionalFormatting>
  <conditionalFormatting sqref="P8:T8">
    <cfRule type="dataBar" priority="3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{74459D76-3CDD-4603-8F85-808736BAF087}</x14:id>
        </ext>
      </extLst>
    </cfRule>
  </conditionalFormatting>
  <conditionalFormatting sqref="P9:T9">
    <cfRule type="dataBar" priority="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{077C6988-A8CC-4404-8A74-478FD55721B5}</x14:id>
        </ext>
      </extLst>
    </cfRule>
  </conditionalFormatting>
  <conditionalFormatting sqref="P10:T10">
    <cfRule type="dataBar" priority="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{A31193C6-C1E8-438E-B163-C3DA439593F8}</x14:id>
        </ext>
      </extLst>
    </cfRule>
  </conditionalFormatting>
  <printOptions/>
  <pageMargins left="0.7" right="0.7" top="0.75" bottom="0.75" header="0.3" footer="0.3"/>
  <pageSetup horizontalDpi="600" verticalDpi="600" orientation="landscape" paperSize="9" scale="68" r:id="rId3"/>
  <colBreaks count="1" manualBreakCount="1">
    <brk id="20" max="16383" man="1"/>
  </colBreak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7409" r:id="rId4" name="Button 1">
              <controlPr defaultSize="0" print="0" autoFill="0" autoPict="0" macro="[4]!ThisWorkbook.Example2_Click" altText="Calculate">
                <anchor moveWithCells="1" sizeWithCells="1">
                  <from>
                    <xdr:col>35</xdr:col>
                    <xdr:colOff>342900</xdr:colOff>
                    <xdr:row>29</xdr:row>
                    <xdr:rowOff>0</xdr:rowOff>
                  </from>
                  <to>
                    <xdr:col>39</xdr:col>
                    <xdr:colOff>152400</xdr:colOff>
                    <xdr:row>32</xdr:row>
                    <xdr:rowOff>76200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8264DF9-DDE3-4B92-9921-17F85D71C4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P8:S8</xm:sqref>
        </x14:conditionalFormatting>
        <x14:conditionalFormatting xmlns:xm="http://schemas.microsoft.com/office/excel/2006/main">
          <x14:cfRule type="dataBar" id="{83FF87DB-4AF0-4757-A50F-701789E158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P9:S9</xm:sqref>
        </x14:conditionalFormatting>
        <x14:conditionalFormatting xmlns:xm="http://schemas.microsoft.com/office/excel/2006/main">
          <x14:cfRule type="dataBar" id="{F174D678-78A6-4A64-A3E5-2C9B0199D5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P10:S10</xm:sqref>
        </x14:conditionalFormatting>
        <x14:conditionalFormatting xmlns:xm="http://schemas.microsoft.com/office/excel/2006/main">
          <x14:cfRule type="dataBar" id="{74459D76-3CDD-4603-8F85-808736BAF08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  <x14:dxf/>
          </x14:cfRule>
          <xm:sqref>P8:T8</xm:sqref>
        </x14:conditionalFormatting>
        <x14:conditionalFormatting xmlns:xm="http://schemas.microsoft.com/office/excel/2006/main">
          <x14:cfRule type="dataBar" id="{077C6988-A8CC-4404-8A74-478FD55721B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  <x14:dxf/>
          </x14:cfRule>
          <xm:sqref>P9:T9</xm:sqref>
        </x14:conditionalFormatting>
        <x14:conditionalFormatting xmlns:xm="http://schemas.microsoft.com/office/excel/2006/main">
          <x14:cfRule type="dataBar" id="{A31193C6-C1E8-438E-B163-C3DA439593F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  <x14:dxf/>
          </x14:cfRule>
          <xm:sqref>P10:T10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G1210"/>
  <sheetViews>
    <sheetView showZeros="0" zoomScale="60" zoomScaleNormal="60" workbookViewId="0" topLeftCell="A1">
      <pane xSplit="1" ySplit="4" topLeftCell="B256" activePane="bottomRight" state="frozen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15.7109375" style="0" bestFit="1" customWidth="1"/>
    <col min="2" max="2" width="17.28125" style="0" customWidth="1"/>
    <col min="3" max="3" width="19.28125" style="0" customWidth="1"/>
    <col min="4" max="4" width="13.421875" style="0" customWidth="1"/>
    <col min="5" max="5" width="17.140625" style="0" customWidth="1"/>
    <col min="6" max="6" width="27.8515625" style="0" customWidth="1"/>
    <col min="7" max="7" width="14.00390625" style="0" customWidth="1"/>
    <col min="8" max="8" width="14.421875" style="0" customWidth="1"/>
    <col min="9" max="9" width="14.140625" style="0" customWidth="1"/>
    <col min="10" max="10" width="13.00390625" style="0" customWidth="1"/>
    <col min="11" max="11" width="11.57421875" style="0" customWidth="1"/>
    <col min="12" max="12" width="12.28125" style="0" customWidth="1"/>
    <col min="13" max="13" width="10.8515625" style="0" customWidth="1"/>
    <col min="14" max="14" width="11.7109375" style="0" customWidth="1"/>
    <col min="15" max="15" width="12.421875" style="0" customWidth="1"/>
    <col min="16" max="16" width="11.00390625" style="0" customWidth="1"/>
  </cols>
  <sheetData>
    <row r="1" spans="1:59" s="2" customFormat="1" ht="36">
      <c r="A1" s="282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38"/>
      <c r="R1" s="238"/>
      <c r="S1" s="238"/>
      <c r="T1" s="238"/>
      <c r="U1" s="238"/>
      <c r="BF1" s="283"/>
      <c r="BG1" s="283"/>
    </row>
    <row r="2" spans="1:59" s="2" customFormat="1" ht="36">
      <c r="A2" s="282" t="s">
        <v>1300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38"/>
      <c r="R2" s="238"/>
      <c r="S2" s="238"/>
      <c r="T2" s="238"/>
      <c r="U2" s="238"/>
      <c r="BF2" s="283"/>
      <c r="BG2" s="283"/>
    </row>
    <row r="3" spans="1:59" s="39" customFormat="1" ht="18" customHeight="1">
      <c r="A3" s="328" t="str">
        <f>Report_Date</f>
        <v>Juin 2013</v>
      </c>
      <c r="B3" s="328"/>
      <c r="C3" s="328"/>
      <c r="D3" s="182"/>
      <c r="E3" s="182"/>
      <c r="F3" s="182"/>
      <c r="G3" s="182"/>
      <c r="H3" s="182"/>
      <c r="I3" s="182"/>
      <c r="J3" s="182"/>
      <c r="L3" s="182"/>
      <c r="M3" s="182"/>
      <c r="N3" s="182"/>
      <c r="O3" s="182"/>
      <c r="P3" s="182"/>
      <c r="Q3" s="182"/>
      <c r="R3" s="182"/>
      <c r="S3" s="284"/>
      <c r="T3" s="182"/>
      <c r="U3" s="182"/>
      <c r="BF3" s="284"/>
      <c r="BG3" s="284"/>
    </row>
    <row r="4" spans="1:16" ht="45.75" customHeight="1">
      <c r="A4" s="18" t="s">
        <v>1301</v>
      </c>
      <c r="B4" s="18" t="s">
        <v>797</v>
      </c>
      <c r="C4" s="18" t="s">
        <v>1302</v>
      </c>
      <c r="D4" s="18" t="s">
        <v>451</v>
      </c>
      <c r="E4" s="18" t="s">
        <v>1</v>
      </c>
      <c r="F4" s="18" t="s">
        <v>1303</v>
      </c>
      <c r="G4" s="18" t="s">
        <v>1304</v>
      </c>
      <c r="H4" s="19" t="s">
        <v>1291</v>
      </c>
      <c r="I4" s="19" t="s">
        <v>1292</v>
      </c>
      <c r="J4" s="20" t="s">
        <v>1293</v>
      </c>
      <c r="K4" s="20" t="s">
        <v>1294</v>
      </c>
      <c r="L4" s="20" t="s">
        <v>1295</v>
      </c>
      <c r="M4" s="21" t="s">
        <v>1296</v>
      </c>
      <c r="N4" s="21" t="s">
        <v>1297</v>
      </c>
      <c r="O4" s="21" t="s">
        <v>1298</v>
      </c>
      <c r="P4" s="21" t="s">
        <v>1299</v>
      </c>
    </row>
    <row r="5" spans="1:16" s="238" customFormat="1" ht="15">
      <c r="A5" s="194" t="s">
        <v>994</v>
      </c>
      <c r="B5" s="185" t="s">
        <v>960</v>
      </c>
      <c r="C5" s="185" t="s">
        <v>995</v>
      </c>
      <c r="D5" s="242" t="s">
        <v>433</v>
      </c>
      <c r="E5" s="186" t="s">
        <v>7</v>
      </c>
      <c r="F5" s="185" t="s">
        <v>1315</v>
      </c>
      <c r="G5" s="188">
        <v>10</v>
      </c>
      <c r="H5" s="188"/>
      <c r="I5" s="2"/>
      <c r="J5" s="2"/>
      <c r="K5" s="2"/>
      <c r="L5" s="301">
        <v>1</v>
      </c>
      <c r="M5" s="2"/>
      <c r="N5" s="2"/>
      <c r="O5" s="2"/>
      <c r="P5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10</v>
      </c>
    </row>
    <row r="6" spans="1:16" s="238" customFormat="1" ht="30">
      <c r="A6" s="194" t="s">
        <v>994</v>
      </c>
      <c r="B6" s="185" t="s">
        <v>960</v>
      </c>
      <c r="C6" s="185" t="s">
        <v>995</v>
      </c>
      <c r="D6" s="242" t="s">
        <v>433</v>
      </c>
      <c r="E6" s="186" t="s">
        <v>7</v>
      </c>
      <c r="F6" s="185" t="s">
        <v>8</v>
      </c>
      <c r="G6" s="188">
        <v>10</v>
      </c>
      <c r="H6" s="188"/>
      <c r="I6" s="2"/>
      <c r="J6" s="2"/>
      <c r="K6" s="2"/>
      <c r="L6" s="301">
        <v>1</v>
      </c>
      <c r="M6" s="2"/>
      <c r="N6" s="2"/>
      <c r="O6" s="2"/>
      <c r="P6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10</v>
      </c>
    </row>
    <row r="7" spans="1:16" s="238" customFormat="1" ht="30">
      <c r="A7" s="194" t="s">
        <v>994</v>
      </c>
      <c r="B7" s="185" t="s">
        <v>960</v>
      </c>
      <c r="C7" s="185" t="s">
        <v>960</v>
      </c>
      <c r="D7" s="242" t="s">
        <v>433</v>
      </c>
      <c r="E7" s="186" t="s">
        <v>7</v>
      </c>
      <c r="F7" s="185" t="s">
        <v>8</v>
      </c>
      <c r="G7" s="188">
        <v>10</v>
      </c>
      <c r="H7" s="188"/>
      <c r="I7" s="2"/>
      <c r="J7" s="2"/>
      <c r="K7" s="2"/>
      <c r="L7" s="301">
        <v>1</v>
      </c>
      <c r="M7" s="2"/>
      <c r="N7" s="2"/>
      <c r="O7" s="2"/>
      <c r="P7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10</v>
      </c>
    </row>
    <row r="8" spans="1:16" s="238" customFormat="1" ht="15">
      <c r="A8" s="194" t="s">
        <v>994</v>
      </c>
      <c r="B8" s="185" t="s">
        <v>960</v>
      </c>
      <c r="C8" s="185" t="s">
        <v>960</v>
      </c>
      <c r="D8" s="242" t="s">
        <v>433</v>
      </c>
      <c r="E8" s="186" t="s">
        <v>7</v>
      </c>
      <c r="F8" s="185" t="s">
        <v>20</v>
      </c>
      <c r="G8" s="188">
        <v>5</v>
      </c>
      <c r="H8" s="188"/>
      <c r="I8" s="2"/>
      <c r="J8" s="2"/>
      <c r="K8" s="2"/>
      <c r="L8" s="301">
        <v>3</v>
      </c>
      <c r="M8" s="2"/>
      <c r="N8" s="2"/>
      <c r="O8" s="2"/>
      <c r="P8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15</v>
      </c>
    </row>
    <row r="9" spans="1:16" s="238" customFormat="1" ht="15">
      <c r="A9" s="194" t="s">
        <v>994</v>
      </c>
      <c r="B9" s="185" t="s">
        <v>960</v>
      </c>
      <c r="C9" s="185" t="s">
        <v>960</v>
      </c>
      <c r="D9" s="242" t="s">
        <v>433</v>
      </c>
      <c r="E9" s="186" t="s">
        <v>7</v>
      </c>
      <c r="F9" s="185" t="s">
        <v>20</v>
      </c>
      <c r="G9" s="188">
        <v>10</v>
      </c>
      <c r="H9" s="188"/>
      <c r="I9" s="2"/>
      <c r="J9" s="2"/>
      <c r="K9" s="2"/>
      <c r="L9" s="301">
        <v>3</v>
      </c>
      <c r="M9" s="2"/>
      <c r="N9" s="2"/>
      <c r="O9" s="2"/>
      <c r="P9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30</v>
      </c>
    </row>
    <row r="10" spans="1:16" s="238" customFormat="1" ht="15">
      <c r="A10" s="194" t="s">
        <v>994</v>
      </c>
      <c r="B10" s="185" t="s">
        <v>960</v>
      </c>
      <c r="C10" s="185" t="s">
        <v>960</v>
      </c>
      <c r="D10" s="242" t="s">
        <v>433</v>
      </c>
      <c r="E10" s="186" t="s">
        <v>7</v>
      </c>
      <c r="F10" s="185" t="s">
        <v>22</v>
      </c>
      <c r="G10" s="188">
        <v>10</v>
      </c>
      <c r="H10" s="188"/>
      <c r="I10" s="2"/>
      <c r="J10" s="2"/>
      <c r="K10" s="2"/>
      <c r="L10" s="301">
        <v>1</v>
      </c>
      <c r="M10" s="2"/>
      <c r="N10" s="2"/>
      <c r="O10" s="2"/>
      <c r="P10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10</v>
      </c>
    </row>
    <row r="11" spans="1:16" s="238" customFormat="1" ht="15">
      <c r="A11" s="194" t="s">
        <v>994</v>
      </c>
      <c r="B11" s="185" t="s">
        <v>960</v>
      </c>
      <c r="C11" s="185" t="s">
        <v>960</v>
      </c>
      <c r="D11" s="242" t="s">
        <v>433</v>
      </c>
      <c r="E11" s="186" t="s">
        <v>7</v>
      </c>
      <c r="F11" s="185" t="s">
        <v>22</v>
      </c>
      <c r="G11" s="188">
        <v>10</v>
      </c>
      <c r="H11" s="188"/>
      <c r="I11" s="2"/>
      <c r="J11" s="2"/>
      <c r="K11" s="2"/>
      <c r="L11" s="301">
        <v>1</v>
      </c>
      <c r="M11" s="2"/>
      <c r="N11" s="2"/>
      <c r="O11" s="2"/>
      <c r="P11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10</v>
      </c>
    </row>
    <row r="12" spans="1:16" s="238" customFormat="1" ht="15">
      <c r="A12" s="194" t="s">
        <v>994</v>
      </c>
      <c r="B12" s="185" t="s">
        <v>960</v>
      </c>
      <c r="C12" s="185" t="s">
        <v>960</v>
      </c>
      <c r="D12" s="242" t="s">
        <v>433</v>
      </c>
      <c r="E12" s="186" t="s">
        <v>7</v>
      </c>
      <c r="F12" s="185" t="s">
        <v>417</v>
      </c>
      <c r="G12" s="188">
        <v>10</v>
      </c>
      <c r="H12" s="188"/>
      <c r="I12" s="2"/>
      <c r="J12" s="2"/>
      <c r="K12" s="2"/>
      <c r="L12" s="301">
        <v>3</v>
      </c>
      <c r="M12" s="2"/>
      <c r="N12" s="2"/>
      <c r="O12" s="2"/>
      <c r="P12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30</v>
      </c>
    </row>
    <row r="13" spans="1:16" s="238" customFormat="1" ht="15">
      <c r="A13" s="194" t="s">
        <v>994</v>
      </c>
      <c r="B13" s="185" t="s">
        <v>960</v>
      </c>
      <c r="C13" s="185" t="s">
        <v>960</v>
      </c>
      <c r="D13" s="242" t="s">
        <v>433</v>
      </c>
      <c r="E13" s="186" t="s">
        <v>7</v>
      </c>
      <c r="F13" s="185" t="s">
        <v>24</v>
      </c>
      <c r="G13" s="188">
        <v>10</v>
      </c>
      <c r="H13" s="188"/>
      <c r="I13" s="2"/>
      <c r="J13" s="2"/>
      <c r="K13" s="2"/>
      <c r="L13" s="301">
        <v>7</v>
      </c>
      <c r="M13" s="2"/>
      <c r="N13" s="2"/>
      <c r="O13" s="2"/>
      <c r="P13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70</v>
      </c>
    </row>
    <row r="14" spans="1:16" s="238" customFormat="1" ht="15">
      <c r="A14" s="194" t="s">
        <v>994</v>
      </c>
      <c r="B14" s="185" t="s">
        <v>960</v>
      </c>
      <c r="C14" s="185" t="s">
        <v>960</v>
      </c>
      <c r="D14" s="242" t="s">
        <v>433</v>
      </c>
      <c r="E14" s="186" t="s">
        <v>7</v>
      </c>
      <c r="F14" s="185" t="s">
        <v>24</v>
      </c>
      <c r="G14" s="188">
        <v>10</v>
      </c>
      <c r="H14" s="188"/>
      <c r="I14" s="2"/>
      <c r="J14" s="2"/>
      <c r="K14" s="2"/>
      <c r="L14" s="301">
        <v>3</v>
      </c>
      <c r="M14" s="2"/>
      <c r="N14" s="2"/>
      <c r="O14" s="2"/>
      <c r="P14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30</v>
      </c>
    </row>
    <row r="15" spans="1:16" s="238" customFormat="1" ht="30">
      <c r="A15" s="194" t="s">
        <v>994</v>
      </c>
      <c r="B15" s="185" t="s">
        <v>960</v>
      </c>
      <c r="C15" s="185" t="s">
        <v>960</v>
      </c>
      <c r="D15" s="242" t="s">
        <v>433</v>
      </c>
      <c r="E15" s="186" t="s">
        <v>7</v>
      </c>
      <c r="F15" s="185" t="s">
        <v>26</v>
      </c>
      <c r="G15" s="188">
        <v>10</v>
      </c>
      <c r="H15" s="188"/>
      <c r="I15" s="2"/>
      <c r="J15" s="2"/>
      <c r="K15" s="2"/>
      <c r="L15" s="301">
        <v>4</v>
      </c>
      <c r="M15" s="2"/>
      <c r="N15" s="2"/>
      <c r="O15" s="2"/>
      <c r="P15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40</v>
      </c>
    </row>
    <row r="16" spans="1:16" s="238" customFormat="1" ht="30">
      <c r="A16" s="194" t="s">
        <v>994</v>
      </c>
      <c r="B16" s="185" t="s">
        <v>960</v>
      </c>
      <c r="C16" s="185" t="s">
        <v>960</v>
      </c>
      <c r="D16" s="242" t="s">
        <v>433</v>
      </c>
      <c r="E16" s="186" t="s">
        <v>7</v>
      </c>
      <c r="F16" s="185" t="s">
        <v>26</v>
      </c>
      <c r="G16" s="188">
        <v>10</v>
      </c>
      <c r="H16" s="188"/>
      <c r="I16" s="2"/>
      <c r="J16" s="2"/>
      <c r="K16" s="2"/>
      <c r="L16" s="301">
        <v>4</v>
      </c>
      <c r="M16" s="2"/>
      <c r="N16" s="2"/>
      <c r="O16" s="2"/>
      <c r="P16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40</v>
      </c>
    </row>
    <row r="17" spans="1:16" s="238" customFormat="1" ht="15">
      <c r="A17" s="194" t="s">
        <v>994</v>
      </c>
      <c r="B17" s="185" t="s">
        <v>960</v>
      </c>
      <c r="C17" s="185" t="s">
        <v>995</v>
      </c>
      <c r="D17" s="242" t="s">
        <v>433</v>
      </c>
      <c r="E17" s="186" t="s">
        <v>997</v>
      </c>
      <c r="F17" s="185" t="s">
        <v>227</v>
      </c>
      <c r="G17" s="188">
        <v>10</v>
      </c>
      <c r="H17" s="188"/>
      <c r="I17" s="2"/>
      <c r="J17" s="2"/>
      <c r="K17" s="2"/>
      <c r="L17" s="301">
        <v>15</v>
      </c>
      <c r="M17" s="2"/>
      <c r="N17" s="2"/>
      <c r="O17" s="2"/>
      <c r="P17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150</v>
      </c>
    </row>
    <row r="18" spans="1:16" s="238" customFormat="1" ht="15">
      <c r="A18" s="194" t="s">
        <v>994</v>
      </c>
      <c r="B18" s="185" t="s">
        <v>960</v>
      </c>
      <c r="C18" s="185" t="s">
        <v>960</v>
      </c>
      <c r="D18" s="242" t="s">
        <v>433</v>
      </c>
      <c r="E18" s="186" t="s">
        <v>998</v>
      </c>
      <c r="F18" s="185" t="s">
        <v>156</v>
      </c>
      <c r="G18" s="188">
        <v>10</v>
      </c>
      <c r="H18" s="188"/>
      <c r="I18" s="2"/>
      <c r="J18" s="2"/>
      <c r="K18" s="2"/>
      <c r="L18" s="301">
        <v>2</v>
      </c>
      <c r="M18" s="2"/>
      <c r="N18" s="2"/>
      <c r="O18" s="2"/>
      <c r="P18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20</v>
      </c>
    </row>
    <row r="19" spans="1:16" s="238" customFormat="1" ht="15">
      <c r="A19" s="194" t="s">
        <v>994</v>
      </c>
      <c r="B19" s="185" t="s">
        <v>960</v>
      </c>
      <c r="C19" s="185" t="s">
        <v>960</v>
      </c>
      <c r="D19" s="242" t="s">
        <v>433</v>
      </c>
      <c r="E19" s="186" t="s">
        <v>998</v>
      </c>
      <c r="F19" s="185" t="s">
        <v>156</v>
      </c>
      <c r="G19" s="188">
        <v>10</v>
      </c>
      <c r="H19" s="188"/>
      <c r="I19" s="2"/>
      <c r="J19" s="2"/>
      <c r="K19" s="2"/>
      <c r="L19" s="301"/>
      <c r="M19" s="2"/>
      <c r="N19" s="2"/>
      <c r="O19" s="2"/>
      <c r="P19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0</v>
      </c>
    </row>
    <row r="20" spans="1:16" s="238" customFormat="1" ht="15">
      <c r="A20" s="194" t="s">
        <v>994</v>
      </c>
      <c r="B20" s="185" t="s">
        <v>960</v>
      </c>
      <c r="C20" s="185" t="s">
        <v>995</v>
      </c>
      <c r="D20" s="242" t="s">
        <v>433</v>
      </c>
      <c r="E20" s="186" t="s">
        <v>155</v>
      </c>
      <c r="F20" s="185" t="s">
        <v>202</v>
      </c>
      <c r="G20" s="188">
        <v>10</v>
      </c>
      <c r="H20" s="188"/>
      <c r="I20" s="2"/>
      <c r="J20" s="2"/>
      <c r="K20" s="2"/>
      <c r="L20" s="301">
        <v>10</v>
      </c>
      <c r="M20" s="2"/>
      <c r="N20" s="2"/>
      <c r="O20" s="2"/>
      <c r="P20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100</v>
      </c>
    </row>
    <row r="21" spans="1:16" s="238" customFormat="1" ht="15">
      <c r="A21" s="194" t="s">
        <v>994</v>
      </c>
      <c r="B21" s="185" t="s">
        <v>960</v>
      </c>
      <c r="C21" s="185" t="s">
        <v>995</v>
      </c>
      <c r="D21" s="242" t="s">
        <v>433</v>
      </c>
      <c r="E21" s="186" t="s">
        <v>155</v>
      </c>
      <c r="F21" s="185" t="s">
        <v>202</v>
      </c>
      <c r="G21" s="188">
        <v>10</v>
      </c>
      <c r="H21" s="188"/>
      <c r="I21" s="2"/>
      <c r="J21" s="2"/>
      <c r="K21" s="2"/>
      <c r="L21" s="301">
        <v>35</v>
      </c>
      <c r="M21" s="2"/>
      <c r="N21" s="2"/>
      <c r="O21" s="2"/>
      <c r="P21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350</v>
      </c>
    </row>
    <row r="22" spans="1:16" s="238" customFormat="1" ht="15">
      <c r="A22" s="194" t="s">
        <v>994</v>
      </c>
      <c r="B22" s="185" t="s">
        <v>960</v>
      </c>
      <c r="C22" s="185" t="s">
        <v>995</v>
      </c>
      <c r="D22" s="242" t="s">
        <v>433</v>
      </c>
      <c r="E22" s="186" t="s">
        <v>155</v>
      </c>
      <c r="F22" s="185" t="s">
        <v>158</v>
      </c>
      <c r="G22" s="188">
        <v>5</v>
      </c>
      <c r="H22" s="188"/>
      <c r="I22" s="2"/>
      <c r="J22" s="2"/>
      <c r="K22" s="2"/>
      <c r="L22" s="301">
        <v>5</v>
      </c>
      <c r="M22" s="2"/>
      <c r="N22" s="2"/>
      <c r="O22" s="2"/>
      <c r="P22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25</v>
      </c>
    </row>
    <row r="23" spans="1:16" s="238" customFormat="1" ht="15">
      <c r="A23" s="194" t="s">
        <v>994</v>
      </c>
      <c r="B23" s="185" t="s">
        <v>960</v>
      </c>
      <c r="C23" s="185" t="s">
        <v>995</v>
      </c>
      <c r="D23" s="242" t="s">
        <v>433</v>
      </c>
      <c r="E23" s="186" t="s">
        <v>155</v>
      </c>
      <c r="F23" s="185" t="s">
        <v>158</v>
      </c>
      <c r="G23" s="188">
        <v>10</v>
      </c>
      <c r="H23" s="188"/>
      <c r="I23" s="2"/>
      <c r="J23" s="2"/>
      <c r="K23" s="2"/>
      <c r="L23" s="301">
        <v>20</v>
      </c>
      <c r="M23" s="2"/>
      <c r="N23" s="2"/>
      <c r="O23" s="2"/>
      <c r="P23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200</v>
      </c>
    </row>
    <row r="24" spans="1:16" s="238" customFormat="1" ht="30">
      <c r="A24" s="194" t="s">
        <v>994</v>
      </c>
      <c r="B24" s="185" t="s">
        <v>960</v>
      </c>
      <c r="C24" s="185" t="s">
        <v>995</v>
      </c>
      <c r="D24" s="242" t="s">
        <v>433</v>
      </c>
      <c r="E24" s="186" t="s">
        <v>155</v>
      </c>
      <c r="F24" s="185" t="s">
        <v>168</v>
      </c>
      <c r="G24" s="188">
        <v>10</v>
      </c>
      <c r="H24" s="188"/>
      <c r="I24" s="2"/>
      <c r="J24" s="2"/>
      <c r="K24" s="2"/>
      <c r="L24" s="301">
        <v>4</v>
      </c>
      <c r="M24" s="2"/>
      <c r="N24" s="2"/>
      <c r="O24" s="2"/>
      <c r="P24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40</v>
      </c>
    </row>
    <row r="25" spans="1:16" s="238" customFormat="1" ht="15">
      <c r="A25" s="194" t="s">
        <v>994</v>
      </c>
      <c r="B25" s="185" t="s">
        <v>960</v>
      </c>
      <c r="C25" s="185" t="s">
        <v>996</v>
      </c>
      <c r="D25" s="242" t="s">
        <v>433</v>
      </c>
      <c r="E25" s="186" t="s">
        <v>170</v>
      </c>
      <c r="F25" s="185" t="s">
        <v>173</v>
      </c>
      <c r="G25" s="188">
        <v>10</v>
      </c>
      <c r="H25" s="188"/>
      <c r="I25" s="2"/>
      <c r="J25" s="2"/>
      <c r="K25" s="2"/>
      <c r="L25" s="301">
        <v>1</v>
      </c>
      <c r="M25" s="2"/>
      <c r="N25" s="2"/>
      <c r="O25" s="2"/>
      <c r="P25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10</v>
      </c>
    </row>
    <row r="26" spans="1:16" s="238" customFormat="1" ht="15">
      <c r="A26" s="194" t="s">
        <v>994</v>
      </c>
      <c r="B26" s="185" t="s">
        <v>960</v>
      </c>
      <c r="C26" s="185" t="s">
        <v>996</v>
      </c>
      <c r="D26" s="242" t="s">
        <v>433</v>
      </c>
      <c r="E26" s="186" t="s">
        <v>170</v>
      </c>
      <c r="F26" s="185" t="s">
        <v>171</v>
      </c>
      <c r="G26" s="188">
        <v>10</v>
      </c>
      <c r="H26" s="188"/>
      <c r="I26" s="2"/>
      <c r="J26" s="2"/>
      <c r="K26" s="2"/>
      <c r="L26" s="301">
        <v>1</v>
      </c>
      <c r="M26" s="2"/>
      <c r="N26" s="2"/>
      <c r="O26" s="2"/>
      <c r="P26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10</v>
      </c>
    </row>
    <row r="27" spans="1:16" s="238" customFormat="1" ht="30">
      <c r="A27" s="194" t="s">
        <v>994</v>
      </c>
      <c r="B27" s="185" t="s">
        <v>960</v>
      </c>
      <c r="C27" s="185" t="s">
        <v>960</v>
      </c>
      <c r="D27" s="242" t="s">
        <v>433</v>
      </c>
      <c r="E27" s="186" t="s">
        <v>1286</v>
      </c>
      <c r="F27" s="185" t="s">
        <v>206</v>
      </c>
      <c r="G27" s="188">
        <v>6</v>
      </c>
      <c r="H27" s="188"/>
      <c r="I27" s="2"/>
      <c r="J27" s="2"/>
      <c r="K27" s="2"/>
      <c r="L27" s="301">
        <v>2</v>
      </c>
      <c r="M27" s="2"/>
      <c r="N27" s="2"/>
      <c r="O27" s="2"/>
      <c r="P27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12</v>
      </c>
    </row>
    <row r="28" spans="1:16" s="238" customFormat="1" ht="15">
      <c r="A28" s="194" t="s">
        <v>994</v>
      </c>
      <c r="B28" s="185" t="s">
        <v>960</v>
      </c>
      <c r="C28" s="185" t="s">
        <v>960</v>
      </c>
      <c r="D28" s="242" t="s">
        <v>433</v>
      </c>
      <c r="E28" s="186" t="s">
        <v>1287</v>
      </c>
      <c r="F28" s="185" t="s">
        <v>213</v>
      </c>
      <c r="G28" s="188">
        <v>10</v>
      </c>
      <c r="H28" s="188"/>
      <c r="I28" s="2"/>
      <c r="J28" s="2"/>
      <c r="K28" s="2"/>
      <c r="L28" s="301">
        <v>5</v>
      </c>
      <c r="M28" s="2"/>
      <c r="N28" s="2"/>
      <c r="O28" s="2"/>
      <c r="P28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50</v>
      </c>
    </row>
    <row r="29" spans="1:16" s="238" customFormat="1" ht="15">
      <c r="A29" s="194" t="s">
        <v>994</v>
      </c>
      <c r="B29" s="185" t="s">
        <v>960</v>
      </c>
      <c r="C29" s="185" t="s">
        <v>960</v>
      </c>
      <c r="D29" s="242" t="s">
        <v>433</v>
      </c>
      <c r="E29" s="186" t="s">
        <v>1287</v>
      </c>
      <c r="F29" s="185" t="s">
        <v>213</v>
      </c>
      <c r="G29" s="188">
        <v>10</v>
      </c>
      <c r="H29" s="188"/>
      <c r="I29" s="2"/>
      <c r="J29" s="2"/>
      <c r="K29" s="2"/>
      <c r="L29" s="301">
        <v>3</v>
      </c>
      <c r="M29" s="2"/>
      <c r="N29" s="2"/>
      <c r="O29" s="2"/>
      <c r="P29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30</v>
      </c>
    </row>
    <row r="30" spans="1:16" s="238" customFormat="1" ht="15">
      <c r="A30" s="194" t="s">
        <v>994</v>
      </c>
      <c r="B30" s="185" t="s">
        <v>960</v>
      </c>
      <c r="C30" s="185" t="s">
        <v>960</v>
      </c>
      <c r="D30" s="242" t="s">
        <v>433</v>
      </c>
      <c r="E30" s="186" t="s">
        <v>1287</v>
      </c>
      <c r="F30" s="185" t="s">
        <v>221</v>
      </c>
      <c r="G30" s="188">
        <v>5</v>
      </c>
      <c r="H30" s="188"/>
      <c r="I30" s="2"/>
      <c r="J30" s="2"/>
      <c r="K30" s="2"/>
      <c r="L30" s="301">
        <v>1</v>
      </c>
      <c r="M30" s="2"/>
      <c r="N30" s="2"/>
      <c r="O30" s="2"/>
      <c r="P30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5</v>
      </c>
    </row>
    <row r="31" spans="1:16" s="238" customFormat="1" ht="15">
      <c r="A31" s="194" t="s">
        <v>994</v>
      </c>
      <c r="B31" s="185" t="s">
        <v>960</v>
      </c>
      <c r="C31" s="185" t="s">
        <v>996</v>
      </c>
      <c r="D31" s="242" t="s">
        <v>433</v>
      </c>
      <c r="E31" s="186" t="s">
        <v>177</v>
      </c>
      <c r="F31" s="185" t="s">
        <v>178</v>
      </c>
      <c r="G31" s="188">
        <v>1</v>
      </c>
      <c r="H31" s="188"/>
      <c r="I31" s="2"/>
      <c r="J31" s="2"/>
      <c r="K31" s="2"/>
      <c r="L31" s="188">
        <v>1</v>
      </c>
      <c r="M31" s="2"/>
      <c r="N31" s="2"/>
      <c r="O31" s="2"/>
      <c r="P31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</v>
      </c>
    </row>
    <row r="32" spans="1:16" s="238" customFormat="1" ht="15">
      <c r="A32" s="194" t="s">
        <v>994</v>
      </c>
      <c r="B32" s="185" t="s">
        <v>960</v>
      </c>
      <c r="C32" s="185" t="s">
        <v>996</v>
      </c>
      <c r="D32" s="242" t="s">
        <v>433</v>
      </c>
      <c r="E32" s="186" t="s">
        <v>177</v>
      </c>
      <c r="F32" s="185" t="s">
        <v>178</v>
      </c>
      <c r="G32" s="188">
        <v>5</v>
      </c>
      <c r="H32" s="188"/>
      <c r="I32" s="2"/>
      <c r="J32" s="2"/>
      <c r="K32" s="2"/>
      <c r="L32" s="188">
        <v>1</v>
      </c>
      <c r="M32" s="2"/>
      <c r="N32" s="2"/>
      <c r="O32" s="2"/>
      <c r="P32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5</v>
      </c>
    </row>
    <row r="33" spans="1:16" s="238" customFormat="1" ht="15">
      <c r="A33" s="194" t="s">
        <v>994</v>
      </c>
      <c r="B33" s="185" t="s">
        <v>960</v>
      </c>
      <c r="C33" s="185" t="s">
        <v>996</v>
      </c>
      <c r="D33" s="242" t="s">
        <v>433</v>
      </c>
      <c r="E33" s="186" t="s">
        <v>177</v>
      </c>
      <c r="F33" s="185" t="s">
        <v>178</v>
      </c>
      <c r="G33" s="188">
        <v>10</v>
      </c>
      <c r="H33" s="188"/>
      <c r="I33" s="2"/>
      <c r="J33" s="2"/>
      <c r="K33" s="2"/>
      <c r="L33" s="188">
        <v>1</v>
      </c>
      <c r="M33" s="2"/>
      <c r="N33" s="2"/>
      <c r="O33" s="2"/>
      <c r="P33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10</v>
      </c>
    </row>
    <row r="34" spans="1:16" s="238" customFormat="1" ht="15">
      <c r="A34" s="194" t="s">
        <v>994</v>
      </c>
      <c r="B34" s="185" t="s">
        <v>960</v>
      </c>
      <c r="C34" s="185" t="s">
        <v>996</v>
      </c>
      <c r="D34" s="242" t="s">
        <v>433</v>
      </c>
      <c r="E34" s="186" t="s">
        <v>177</v>
      </c>
      <c r="F34" s="185" t="s">
        <v>180</v>
      </c>
      <c r="G34" s="188">
        <v>1</v>
      </c>
      <c r="H34" s="188"/>
      <c r="I34" s="2"/>
      <c r="J34" s="2"/>
      <c r="K34" s="2"/>
      <c r="L34" s="188">
        <v>1</v>
      </c>
      <c r="M34" s="2"/>
      <c r="N34" s="2"/>
      <c r="O34" s="2"/>
      <c r="P34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</v>
      </c>
    </row>
    <row r="35" spans="1:16" s="238" customFormat="1" ht="15">
      <c r="A35" s="194" t="s">
        <v>994</v>
      </c>
      <c r="B35" s="185" t="s">
        <v>960</v>
      </c>
      <c r="C35" s="185" t="s">
        <v>996</v>
      </c>
      <c r="D35" s="242" t="s">
        <v>433</v>
      </c>
      <c r="E35" s="186" t="s">
        <v>177</v>
      </c>
      <c r="F35" s="185" t="s">
        <v>180</v>
      </c>
      <c r="G35" s="188">
        <v>10</v>
      </c>
      <c r="H35" s="188"/>
      <c r="I35" s="2"/>
      <c r="J35" s="2"/>
      <c r="K35" s="2"/>
      <c r="L35" s="188">
        <v>1</v>
      </c>
      <c r="M35" s="2"/>
      <c r="N35" s="2"/>
      <c r="O35" s="2"/>
      <c r="P35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10</v>
      </c>
    </row>
    <row r="36" spans="1:16" s="238" customFormat="1" ht="15">
      <c r="A36" s="194" t="s">
        <v>994</v>
      </c>
      <c r="B36" s="185" t="s">
        <v>960</v>
      </c>
      <c r="C36" s="185" t="s">
        <v>996</v>
      </c>
      <c r="D36" s="242" t="s">
        <v>433</v>
      </c>
      <c r="E36" s="186" t="s">
        <v>177</v>
      </c>
      <c r="F36" s="185" t="s">
        <v>182</v>
      </c>
      <c r="G36" s="188">
        <v>1</v>
      </c>
      <c r="H36" s="188"/>
      <c r="I36" s="2"/>
      <c r="J36" s="2"/>
      <c r="K36" s="2"/>
      <c r="L36" s="188">
        <v>2</v>
      </c>
      <c r="M36" s="2"/>
      <c r="N36" s="2"/>
      <c r="O36" s="2"/>
      <c r="P36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2</v>
      </c>
    </row>
    <row r="37" spans="1:16" s="238" customFormat="1" ht="15">
      <c r="A37" s="194" t="s">
        <v>994</v>
      </c>
      <c r="B37" s="185" t="s">
        <v>960</v>
      </c>
      <c r="C37" s="185" t="s">
        <v>996</v>
      </c>
      <c r="D37" s="242" t="s">
        <v>433</v>
      </c>
      <c r="E37" s="186" t="s">
        <v>177</v>
      </c>
      <c r="F37" s="185" t="s">
        <v>182</v>
      </c>
      <c r="G37" s="188">
        <v>5</v>
      </c>
      <c r="H37" s="188"/>
      <c r="I37" s="2"/>
      <c r="J37" s="2"/>
      <c r="K37" s="2"/>
      <c r="L37" s="188">
        <v>1</v>
      </c>
      <c r="M37" s="2"/>
      <c r="N37" s="2"/>
      <c r="O37" s="2"/>
      <c r="P37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5</v>
      </c>
    </row>
    <row r="38" spans="1:16" s="238" customFormat="1" ht="15">
      <c r="A38" s="194" t="s">
        <v>994</v>
      </c>
      <c r="B38" s="185" t="s">
        <v>960</v>
      </c>
      <c r="C38" s="185" t="s">
        <v>996</v>
      </c>
      <c r="D38" s="242" t="s">
        <v>433</v>
      </c>
      <c r="E38" s="186" t="s">
        <v>177</v>
      </c>
      <c r="F38" s="185" t="s">
        <v>182</v>
      </c>
      <c r="G38" s="188">
        <v>10</v>
      </c>
      <c r="H38" s="188"/>
      <c r="I38" s="2"/>
      <c r="J38" s="2"/>
      <c r="K38" s="2"/>
      <c r="L38" s="188">
        <v>1</v>
      </c>
      <c r="M38" s="2"/>
      <c r="N38" s="2"/>
      <c r="O38" s="2"/>
      <c r="P38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10</v>
      </c>
    </row>
    <row r="39" spans="1:16" s="238" customFormat="1" ht="30">
      <c r="A39" s="194" t="s">
        <v>994</v>
      </c>
      <c r="B39" s="185" t="s">
        <v>960</v>
      </c>
      <c r="C39" s="185" t="s">
        <v>996</v>
      </c>
      <c r="D39" s="242" t="s">
        <v>433</v>
      </c>
      <c r="E39" s="186" t="s">
        <v>184</v>
      </c>
      <c r="F39" s="185" t="s">
        <v>292</v>
      </c>
      <c r="G39" s="188">
        <v>10</v>
      </c>
      <c r="H39" s="188"/>
      <c r="I39" s="2"/>
      <c r="J39" s="2"/>
      <c r="K39" s="2"/>
      <c r="L39" s="188">
        <v>2</v>
      </c>
      <c r="M39" s="2"/>
      <c r="N39" s="2"/>
      <c r="O39" s="2"/>
      <c r="P39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20</v>
      </c>
    </row>
    <row r="40" spans="1:16" s="238" customFormat="1" ht="15">
      <c r="A40" s="194" t="s">
        <v>994</v>
      </c>
      <c r="B40" s="185" t="s">
        <v>960</v>
      </c>
      <c r="C40" s="185" t="s">
        <v>1263</v>
      </c>
      <c r="D40" s="242" t="s">
        <v>433</v>
      </c>
      <c r="E40" s="186" t="s">
        <v>189</v>
      </c>
      <c r="F40" s="185" t="s">
        <v>196</v>
      </c>
      <c r="G40" s="188">
        <v>1</v>
      </c>
      <c r="H40" s="188"/>
      <c r="I40" s="2"/>
      <c r="J40" s="2"/>
      <c r="K40" s="2"/>
      <c r="L40" s="188">
        <v>2</v>
      </c>
      <c r="M40" s="2"/>
      <c r="N40" s="2"/>
      <c r="O40" s="2"/>
      <c r="P40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2</v>
      </c>
    </row>
    <row r="41" spans="1:16" s="238" customFormat="1" ht="15">
      <c r="A41" s="194" t="s">
        <v>994</v>
      </c>
      <c r="B41" s="185" t="s">
        <v>960</v>
      </c>
      <c r="C41" s="185" t="s">
        <v>1263</v>
      </c>
      <c r="D41" s="242" t="s">
        <v>433</v>
      </c>
      <c r="E41" s="186" t="s">
        <v>189</v>
      </c>
      <c r="F41" s="185" t="s">
        <v>196</v>
      </c>
      <c r="G41" s="188">
        <v>6</v>
      </c>
      <c r="H41" s="188"/>
      <c r="I41" s="2"/>
      <c r="J41" s="2"/>
      <c r="K41" s="2"/>
      <c r="L41" s="188">
        <v>2</v>
      </c>
      <c r="M41" s="2"/>
      <c r="N41" s="2"/>
      <c r="O41" s="2"/>
      <c r="P41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12</v>
      </c>
    </row>
    <row r="42" spans="1:16" s="238" customFormat="1" ht="15">
      <c r="A42" s="194" t="s">
        <v>994</v>
      </c>
      <c r="B42" s="185" t="s">
        <v>960</v>
      </c>
      <c r="C42" s="185" t="s">
        <v>1263</v>
      </c>
      <c r="D42" s="242" t="s">
        <v>433</v>
      </c>
      <c r="E42" s="186" t="s">
        <v>189</v>
      </c>
      <c r="F42" s="185" t="s">
        <v>196</v>
      </c>
      <c r="G42" s="188">
        <v>10</v>
      </c>
      <c r="H42" s="188"/>
      <c r="I42" s="2"/>
      <c r="J42" s="2"/>
      <c r="K42" s="2"/>
      <c r="L42" s="188">
        <v>10</v>
      </c>
      <c r="M42" s="2"/>
      <c r="N42" s="2"/>
      <c r="O42" s="2"/>
      <c r="P42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100</v>
      </c>
    </row>
    <row r="43" spans="1:16" s="238" customFormat="1" ht="15">
      <c r="A43" s="194" t="s">
        <v>994</v>
      </c>
      <c r="B43" s="185" t="s">
        <v>960</v>
      </c>
      <c r="C43" s="185" t="s">
        <v>1263</v>
      </c>
      <c r="D43" s="242" t="s">
        <v>433</v>
      </c>
      <c r="E43" s="186" t="s">
        <v>189</v>
      </c>
      <c r="F43" s="185" t="s">
        <v>196</v>
      </c>
      <c r="G43" s="188">
        <v>11</v>
      </c>
      <c r="H43" s="188"/>
      <c r="I43" s="2"/>
      <c r="J43" s="2"/>
      <c r="K43" s="2"/>
      <c r="L43" s="188">
        <v>1</v>
      </c>
      <c r="M43" s="2"/>
      <c r="N43" s="2"/>
      <c r="O43" s="2"/>
      <c r="P43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11</v>
      </c>
    </row>
    <row r="44" spans="1:16" s="238" customFormat="1" ht="15">
      <c r="A44" s="194" t="s">
        <v>994</v>
      </c>
      <c r="B44" s="185" t="s">
        <v>960</v>
      </c>
      <c r="C44" s="185" t="s">
        <v>995</v>
      </c>
      <c r="D44" s="242" t="s">
        <v>433</v>
      </c>
      <c r="E44" s="186" t="s">
        <v>189</v>
      </c>
      <c r="F44" s="185" t="s">
        <v>200</v>
      </c>
      <c r="G44" s="188">
        <v>10</v>
      </c>
      <c r="H44" s="188"/>
      <c r="I44" s="2"/>
      <c r="J44" s="2"/>
      <c r="K44" s="2"/>
      <c r="L44" s="301">
        <v>25</v>
      </c>
      <c r="M44" s="2"/>
      <c r="N44" s="2"/>
      <c r="O44" s="2"/>
      <c r="P44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250</v>
      </c>
    </row>
    <row r="45" spans="1:16" s="238" customFormat="1" ht="15">
      <c r="A45" s="194" t="s">
        <v>994</v>
      </c>
      <c r="B45" s="185" t="s">
        <v>960</v>
      </c>
      <c r="C45" s="185" t="s">
        <v>960</v>
      </c>
      <c r="D45" s="242" t="s">
        <v>433</v>
      </c>
      <c r="E45" s="186" t="s">
        <v>189</v>
      </c>
      <c r="F45" s="185" t="s">
        <v>190</v>
      </c>
      <c r="G45" s="188">
        <v>6</v>
      </c>
      <c r="H45" s="188"/>
      <c r="I45" s="2"/>
      <c r="J45" s="2"/>
      <c r="K45" s="2"/>
      <c r="L45" s="301">
        <v>2</v>
      </c>
      <c r="M45" s="2"/>
      <c r="N45" s="2"/>
      <c r="O45" s="2"/>
      <c r="P45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12</v>
      </c>
    </row>
    <row r="46" spans="1:16" s="238" customFormat="1" ht="15">
      <c r="A46" s="190" t="s">
        <v>994</v>
      </c>
      <c r="B46" s="160" t="s">
        <v>960</v>
      </c>
      <c r="C46" s="160" t="s">
        <v>960</v>
      </c>
      <c r="D46" s="242" t="s">
        <v>433</v>
      </c>
      <c r="E46" s="163" t="s">
        <v>189</v>
      </c>
      <c r="F46" s="160" t="s">
        <v>190</v>
      </c>
      <c r="G46" s="161">
        <v>8</v>
      </c>
      <c r="H46" s="161"/>
      <c r="I46" s="91"/>
      <c r="J46" s="91"/>
      <c r="K46" s="91"/>
      <c r="L46" s="162">
        <v>1</v>
      </c>
      <c r="M46" s="91"/>
      <c r="N46" s="91"/>
      <c r="O46" s="91"/>
      <c r="P46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8</v>
      </c>
    </row>
    <row r="47" spans="1:16" s="238" customFormat="1" ht="15">
      <c r="A47" s="190" t="s">
        <v>994</v>
      </c>
      <c r="B47" s="160" t="s">
        <v>960</v>
      </c>
      <c r="C47" s="160" t="s">
        <v>995</v>
      </c>
      <c r="D47" s="242" t="s">
        <v>433</v>
      </c>
      <c r="E47" s="163" t="s">
        <v>189</v>
      </c>
      <c r="F47" s="160" t="s">
        <v>227</v>
      </c>
      <c r="G47" s="161">
        <v>6</v>
      </c>
      <c r="H47" s="161"/>
      <c r="I47" s="91"/>
      <c r="J47" s="91"/>
      <c r="K47" s="91"/>
      <c r="L47" s="162">
        <v>1</v>
      </c>
      <c r="M47" s="91"/>
      <c r="N47" s="91"/>
      <c r="O47" s="91"/>
      <c r="P47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6</v>
      </c>
    </row>
    <row r="48" spans="1:16" s="238" customFormat="1" ht="15">
      <c r="A48" s="190" t="s">
        <v>994</v>
      </c>
      <c r="B48" s="160" t="s">
        <v>960</v>
      </c>
      <c r="C48" s="160" t="s">
        <v>960</v>
      </c>
      <c r="D48" s="242" t="s">
        <v>433</v>
      </c>
      <c r="E48" s="163" t="s">
        <v>189</v>
      </c>
      <c r="F48" s="160" t="s">
        <v>194</v>
      </c>
      <c r="G48" s="161">
        <v>10</v>
      </c>
      <c r="H48" s="161"/>
      <c r="I48" s="91"/>
      <c r="J48" s="91"/>
      <c r="K48" s="91"/>
      <c r="L48" s="162">
        <v>4</v>
      </c>
      <c r="M48" s="91"/>
      <c r="N48" s="91"/>
      <c r="O48" s="91"/>
      <c r="P48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40</v>
      </c>
    </row>
    <row r="49" spans="1:16" s="238" customFormat="1" ht="15">
      <c r="A49" s="190" t="s">
        <v>994</v>
      </c>
      <c r="B49" s="160" t="s">
        <v>960</v>
      </c>
      <c r="C49" s="160" t="s">
        <v>960</v>
      </c>
      <c r="D49" s="242" t="s">
        <v>433</v>
      </c>
      <c r="E49" s="163" t="s">
        <v>189</v>
      </c>
      <c r="F49" s="160" t="s">
        <v>194</v>
      </c>
      <c r="G49" s="161">
        <v>10</v>
      </c>
      <c r="H49" s="161"/>
      <c r="I49" s="91"/>
      <c r="J49" s="91"/>
      <c r="K49" s="91"/>
      <c r="L49" s="162">
        <v>6</v>
      </c>
      <c r="M49" s="91"/>
      <c r="N49" s="91"/>
      <c r="O49" s="91"/>
      <c r="P49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60</v>
      </c>
    </row>
    <row r="50" spans="1:16" s="238" customFormat="1" ht="15">
      <c r="A50" s="190" t="s">
        <v>994</v>
      </c>
      <c r="B50" s="160" t="s">
        <v>960</v>
      </c>
      <c r="C50" s="160" t="s">
        <v>995</v>
      </c>
      <c r="D50" s="242" t="s">
        <v>433</v>
      </c>
      <c r="E50" s="163" t="s">
        <v>189</v>
      </c>
      <c r="F50" s="160" t="s">
        <v>206</v>
      </c>
      <c r="G50" s="161">
        <v>10</v>
      </c>
      <c r="H50" s="161"/>
      <c r="I50" s="91"/>
      <c r="J50" s="91"/>
      <c r="K50" s="91"/>
      <c r="L50" s="162">
        <v>1</v>
      </c>
      <c r="M50" s="91"/>
      <c r="N50" s="91"/>
      <c r="O50" s="91"/>
      <c r="P50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10</v>
      </c>
    </row>
    <row r="51" spans="1:16" s="238" customFormat="1" ht="15">
      <c r="A51" s="190" t="s">
        <v>994</v>
      </c>
      <c r="B51" s="160" t="s">
        <v>960</v>
      </c>
      <c r="C51" s="160" t="s">
        <v>995</v>
      </c>
      <c r="D51" s="242" t="s">
        <v>433</v>
      </c>
      <c r="E51" s="163" t="s">
        <v>189</v>
      </c>
      <c r="F51" s="160" t="s">
        <v>206</v>
      </c>
      <c r="G51" s="161">
        <v>10</v>
      </c>
      <c r="H51" s="161"/>
      <c r="I51" s="91"/>
      <c r="J51" s="91"/>
      <c r="K51" s="91"/>
      <c r="L51" s="162">
        <v>4</v>
      </c>
      <c r="M51" s="91"/>
      <c r="N51" s="91"/>
      <c r="O51" s="91"/>
      <c r="P51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40</v>
      </c>
    </row>
    <row r="52" spans="1:16" s="238" customFormat="1" ht="15">
      <c r="A52" s="190" t="s">
        <v>994</v>
      </c>
      <c r="B52" s="160" t="s">
        <v>960</v>
      </c>
      <c r="C52" s="160" t="s">
        <v>960</v>
      </c>
      <c r="D52" s="242" t="s">
        <v>433</v>
      </c>
      <c r="E52" s="163" t="s">
        <v>189</v>
      </c>
      <c r="F52" s="160" t="s">
        <v>233</v>
      </c>
      <c r="G52" s="161">
        <v>10</v>
      </c>
      <c r="H52" s="161"/>
      <c r="I52" s="91"/>
      <c r="J52" s="91"/>
      <c r="K52" s="91"/>
      <c r="L52" s="162">
        <v>2</v>
      </c>
      <c r="M52" s="91"/>
      <c r="N52" s="91"/>
      <c r="O52" s="91"/>
      <c r="P52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20</v>
      </c>
    </row>
    <row r="53" spans="1:16" s="238" customFormat="1" ht="15">
      <c r="A53" s="190" t="s">
        <v>994</v>
      </c>
      <c r="B53" s="160" t="s">
        <v>960</v>
      </c>
      <c r="C53" s="160" t="s">
        <v>960</v>
      </c>
      <c r="D53" s="242" t="s">
        <v>433</v>
      </c>
      <c r="E53" s="163" t="s">
        <v>189</v>
      </c>
      <c r="F53" s="160" t="s">
        <v>233</v>
      </c>
      <c r="G53" s="161">
        <v>10</v>
      </c>
      <c r="H53" s="161"/>
      <c r="I53" s="91"/>
      <c r="J53" s="91"/>
      <c r="K53" s="91"/>
      <c r="L53" s="162">
        <v>5</v>
      </c>
      <c r="M53" s="91"/>
      <c r="N53" s="91"/>
      <c r="O53" s="91"/>
      <c r="P53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50</v>
      </c>
    </row>
    <row r="54" spans="1:16" s="238" customFormat="1" ht="15">
      <c r="A54" s="190" t="s">
        <v>994</v>
      </c>
      <c r="B54" s="160" t="s">
        <v>960</v>
      </c>
      <c r="C54" s="160" t="s">
        <v>995</v>
      </c>
      <c r="D54" s="242" t="s">
        <v>433</v>
      </c>
      <c r="E54" s="163" t="s">
        <v>189</v>
      </c>
      <c r="F54" s="160" t="s">
        <v>223</v>
      </c>
      <c r="G54" s="161">
        <v>10</v>
      </c>
      <c r="H54" s="161"/>
      <c r="I54" s="91"/>
      <c r="J54" s="91"/>
      <c r="K54" s="91"/>
      <c r="L54" s="162">
        <v>13</v>
      </c>
      <c r="M54" s="91"/>
      <c r="N54" s="91"/>
      <c r="O54" s="91"/>
      <c r="P54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130</v>
      </c>
    </row>
    <row r="55" spans="1:16" s="238" customFormat="1" ht="15">
      <c r="A55" s="190" t="s">
        <v>994</v>
      </c>
      <c r="B55" s="160" t="s">
        <v>960</v>
      </c>
      <c r="C55" s="160" t="s">
        <v>995</v>
      </c>
      <c r="D55" s="242" t="s">
        <v>433</v>
      </c>
      <c r="E55" s="163" t="s">
        <v>189</v>
      </c>
      <c r="F55" s="160" t="s">
        <v>223</v>
      </c>
      <c r="G55" s="161">
        <v>10</v>
      </c>
      <c r="H55" s="161"/>
      <c r="I55" s="91"/>
      <c r="J55" s="91"/>
      <c r="K55" s="91"/>
      <c r="L55" s="162">
        <v>6</v>
      </c>
      <c r="M55" s="91"/>
      <c r="N55" s="91"/>
      <c r="O55" s="91"/>
      <c r="P55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60</v>
      </c>
    </row>
    <row r="56" spans="1:16" s="238" customFormat="1" ht="15">
      <c r="A56" s="190" t="s">
        <v>994</v>
      </c>
      <c r="B56" s="160" t="s">
        <v>960</v>
      </c>
      <c r="C56" s="160" t="s">
        <v>960</v>
      </c>
      <c r="D56" s="242" t="s">
        <v>433</v>
      </c>
      <c r="E56" s="163" t="s">
        <v>189</v>
      </c>
      <c r="F56" s="160" t="s">
        <v>229</v>
      </c>
      <c r="G56" s="161">
        <v>10</v>
      </c>
      <c r="H56" s="161"/>
      <c r="I56" s="91"/>
      <c r="J56" s="91"/>
      <c r="K56" s="91"/>
      <c r="L56" s="162">
        <v>4</v>
      </c>
      <c r="M56" s="91"/>
      <c r="N56" s="91"/>
      <c r="O56" s="91"/>
      <c r="P56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40</v>
      </c>
    </row>
    <row r="57" spans="1:16" s="238" customFormat="1" ht="15">
      <c r="A57" s="190" t="s">
        <v>994</v>
      </c>
      <c r="B57" s="160" t="s">
        <v>960</v>
      </c>
      <c r="C57" s="160" t="s">
        <v>960</v>
      </c>
      <c r="D57" s="242" t="s">
        <v>433</v>
      </c>
      <c r="E57" s="163" t="s">
        <v>189</v>
      </c>
      <c r="F57" s="160" t="s">
        <v>229</v>
      </c>
      <c r="G57" s="161">
        <v>10</v>
      </c>
      <c r="H57" s="161"/>
      <c r="I57" s="91"/>
      <c r="J57" s="91"/>
      <c r="K57" s="91"/>
      <c r="L57" s="162">
        <v>2</v>
      </c>
      <c r="M57" s="91"/>
      <c r="N57" s="91"/>
      <c r="O57" s="91"/>
      <c r="P57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20</v>
      </c>
    </row>
    <row r="58" spans="1:16" s="238" customFormat="1" ht="15">
      <c r="A58" s="190" t="s">
        <v>994</v>
      </c>
      <c r="B58" s="160" t="s">
        <v>960</v>
      </c>
      <c r="C58" s="160" t="s">
        <v>996</v>
      </c>
      <c r="D58" s="242" t="s">
        <v>433</v>
      </c>
      <c r="E58" s="163" t="s">
        <v>241</v>
      </c>
      <c r="F58" s="160" t="s">
        <v>248</v>
      </c>
      <c r="G58" s="161">
        <v>1</v>
      </c>
      <c r="H58" s="161"/>
      <c r="I58" s="91"/>
      <c r="J58" s="91"/>
      <c r="K58" s="91"/>
      <c r="L58" s="161">
        <v>1</v>
      </c>
      <c r="M58" s="91"/>
      <c r="N58" s="91"/>
      <c r="O58" s="91"/>
      <c r="P58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</v>
      </c>
    </row>
    <row r="59" spans="1:16" s="238" customFormat="1" ht="15">
      <c r="A59" s="190" t="s">
        <v>994</v>
      </c>
      <c r="B59" s="160" t="s">
        <v>960</v>
      </c>
      <c r="C59" s="160" t="s">
        <v>996</v>
      </c>
      <c r="D59" s="242" t="s">
        <v>433</v>
      </c>
      <c r="E59" s="163" t="s">
        <v>241</v>
      </c>
      <c r="F59" s="160" t="s">
        <v>250</v>
      </c>
      <c r="G59" s="161">
        <v>1</v>
      </c>
      <c r="H59" s="161"/>
      <c r="I59" s="91"/>
      <c r="J59" s="91"/>
      <c r="K59" s="91"/>
      <c r="L59" s="161">
        <v>1</v>
      </c>
      <c r="M59" s="91"/>
      <c r="N59" s="91"/>
      <c r="O59" s="91"/>
      <c r="P59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</v>
      </c>
    </row>
    <row r="60" spans="1:16" s="238" customFormat="1" ht="15">
      <c r="A60" s="190" t="s">
        <v>994</v>
      </c>
      <c r="B60" s="160" t="s">
        <v>960</v>
      </c>
      <c r="C60" s="160" t="s">
        <v>996</v>
      </c>
      <c r="D60" s="242" t="s">
        <v>433</v>
      </c>
      <c r="E60" s="163" t="s">
        <v>241</v>
      </c>
      <c r="F60" s="160" t="s">
        <v>252</v>
      </c>
      <c r="G60" s="161">
        <v>1</v>
      </c>
      <c r="H60" s="161"/>
      <c r="I60" s="91"/>
      <c r="J60" s="91"/>
      <c r="K60" s="91"/>
      <c r="L60" s="161">
        <v>1</v>
      </c>
      <c r="M60" s="91"/>
      <c r="N60" s="91"/>
      <c r="O60" s="91"/>
      <c r="P60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</v>
      </c>
    </row>
    <row r="61" spans="1:16" s="238" customFormat="1" ht="15">
      <c r="A61" s="190" t="s">
        <v>994</v>
      </c>
      <c r="B61" s="160" t="s">
        <v>960</v>
      </c>
      <c r="C61" s="160" t="s">
        <v>996</v>
      </c>
      <c r="D61" s="242" t="s">
        <v>433</v>
      </c>
      <c r="E61" s="163" t="s">
        <v>241</v>
      </c>
      <c r="F61" s="160" t="s">
        <v>258</v>
      </c>
      <c r="G61" s="161">
        <v>1</v>
      </c>
      <c r="H61" s="161"/>
      <c r="I61" s="91"/>
      <c r="J61" s="91"/>
      <c r="K61" s="91"/>
      <c r="L61" s="161">
        <v>1</v>
      </c>
      <c r="M61" s="91"/>
      <c r="N61" s="91"/>
      <c r="O61" s="91"/>
      <c r="P61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</v>
      </c>
    </row>
    <row r="62" spans="1:16" s="238" customFormat="1" ht="15">
      <c r="A62" s="190" t="s">
        <v>994</v>
      </c>
      <c r="B62" s="160" t="s">
        <v>960</v>
      </c>
      <c r="C62" s="160" t="s">
        <v>996</v>
      </c>
      <c r="D62" s="242" t="s">
        <v>433</v>
      </c>
      <c r="E62" s="163" t="s">
        <v>241</v>
      </c>
      <c r="F62" s="160" t="s">
        <v>258</v>
      </c>
      <c r="G62" s="161">
        <v>1</v>
      </c>
      <c r="H62" s="161"/>
      <c r="I62" s="91"/>
      <c r="J62" s="91"/>
      <c r="K62" s="91"/>
      <c r="L62" s="161">
        <v>1</v>
      </c>
      <c r="M62" s="91"/>
      <c r="N62" s="91"/>
      <c r="O62" s="91"/>
      <c r="P62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</v>
      </c>
    </row>
    <row r="63" spans="1:16" s="238" customFormat="1" ht="15">
      <c r="A63" s="190" t="s">
        <v>994</v>
      </c>
      <c r="B63" s="160" t="s">
        <v>960</v>
      </c>
      <c r="C63" s="160" t="s">
        <v>996</v>
      </c>
      <c r="D63" s="242" t="s">
        <v>433</v>
      </c>
      <c r="E63" s="163" t="s">
        <v>241</v>
      </c>
      <c r="F63" s="160" t="s">
        <v>258</v>
      </c>
      <c r="G63" s="161">
        <v>10</v>
      </c>
      <c r="H63" s="161"/>
      <c r="I63" s="91"/>
      <c r="J63" s="91"/>
      <c r="K63" s="91"/>
      <c r="L63" s="161">
        <v>2</v>
      </c>
      <c r="M63" s="91"/>
      <c r="N63" s="91"/>
      <c r="O63" s="91"/>
      <c r="P63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20</v>
      </c>
    </row>
    <row r="64" spans="1:16" s="238" customFormat="1" ht="30">
      <c r="A64" s="190" t="s">
        <v>994</v>
      </c>
      <c r="B64" s="160" t="s">
        <v>960</v>
      </c>
      <c r="C64" s="160" t="s">
        <v>1263</v>
      </c>
      <c r="D64" s="242" t="s">
        <v>433</v>
      </c>
      <c r="E64" s="163" t="s">
        <v>241</v>
      </c>
      <c r="F64" s="160" t="s">
        <v>260</v>
      </c>
      <c r="G64" s="161">
        <v>1</v>
      </c>
      <c r="H64" s="161"/>
      <c r="I64" s="91"/>
      <c r="J64" s="91"/>
      <c r="K64" s="91"/>
      <c r="L64" s="161">
        <v>1</v>
      </c>
      <c r="M64" s="91"/>
      <c r="N64" s="91"/>
      <c r="O64" s="91"/>
      <c r="P64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</v>
      </c>
    </row>
    <row r="65" spans="1:16" s="238" customFormat="1" ht="30">
      <c r="A65" s="190" t="s">
        <v>994</v>
      </c>
      <c r="B65" s="160" t="s">
        <v>960</v>
      </c>
      <c r="C65" s="160" t="s">
        <v>1263</v>
      </c>
      <c r="D65" s="242" t="s">
        <v>433</v>
      </c>
      <c r="E65" s="163" t="s">
        <v>241</v>
      </c>
      <c r="F65" s="160" t="s">
        <v>260</v>
      </c>
      <c r="G65" s="161">
        <v>10</v>
      </c>
      <c r="H65" s="161"/>
      <c r="I65" s="91"/>
      <c r="J65" s="91"/>
      <c r="K65" s="91"/>
      <c r="L65" s="161">
        <v>2</v>
      </c>
      <c r="M65" s="91"/>
      <c r="N65" s="91"/>
      <c r="O65" s="91"/>
      <c r="P65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20</v>
      </c>
    </row>
    <row r="66" spans="1:16" s="238" customFormat="1" ht="15">
      <c r="A66" s="190" t="s">
        <v>994</v>
      </c>
      <c r="B66" s="160" t="s">
        <v>960</v>
      </c>
      <c r="C66" s="160" t="s">
        <v>996</v>
      </c>
      <c r="D66" s="242" t="s">
        <v>433</v>
      </c>
      <c r="E66" s="163" t="s">
        <v>241</v>
      </c>
      <c r="F66" s="160" t="s">
        <v>262</v>
      </c>
      <c r="G66" s="161">
        <v>5</v>
      </c>
      <c r="H66" s="161"/>
      <c r="I66" s="91"/>
      <c r="J66" s="91"/>
      <c r="K66" s="91"/>
      <c r="L66" s="161">
        <v>1</v>
      </c>
      <c r="M66" s="91"/>
      <c r="N66" s="91"/>
      <c r="O66" s="91"/>
      <c r="P66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5</v>
      </c>
    </row>
    <row r="67" spans="1:16" s="238" customFormat="1" ht="15">
      <c r="A67" s="190" t="s">
        <v>994</v>
      </c>
      <c r="B67" s="160" t="s">
        <v>960</v>
      </c>
      <c r="C67" s="160" t="s">
        <v>996</v>
      </c>
      <c r="D67" s="242" t="s">
        <v>433</v>
      </c>
      <c r="E67" s="163" t="s">
        <v>241</v>
      </c>
      <c r="F67" s="160" t="s">
        <v>244</v>
      </c>
      <c r="G67" s="161">
        <v>1</v>
      </c>
      <c r="H67" s="161"/>
      <c r="I67" s="91"/>
      <c r="J67" s="91"/>
      <c r="K67" s="91"/>
      <c r="L67" s="161">
        <v>2</v>
      </c>
      <c r="M67" s="91"/>
      <c r="N67" s="91"/>
      <c r="O67" s="91"/>
      <c r="P67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2</v>
      </c>
    </row>
    <row r="68" spans="1:16" s="238" customFormat="1" ht="15">
      <c r="A68" s="190" t="s">
        <v>994</v>
      </c>
      <c r="B68" s="160" t="s">
        <v>960</v>
      </c>
      <c r="C68" s="160" t="s">
        <v>996</v>
      </c>
      <c r="D68" s="242" t="s">
        <v>433</v>
      </c>
      <c r="E68" s="163" t="s">
        <v>241</v>
      </c>
      <c r="F68" s="160" t="s">
        <v>244</v>
      </c>
      <c r="G68" s="161">
        <v>10</v>
      </c>
      <c r="H68" s="161"/>
      <c r="I68" s="91"/>
      <c r="J68" s="91"/>
      <c r="K68" s="91"/>
      <c r="L68" s="161">
        <v>1</v>
      </c>
      <c r="M68" s="91"/>
      <c r="N68" s="91"/>
      <c r="O68" s="91"/>
      <c r="P68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10</v>
      </c>
    </row>
    <row r="69" spans="1:16" s="238" customFormat="1" ht="15">
      <c r="A69" s="190" t="s">
        <v>994</v>
      </c>
      <c r="B69" s="160" t="s">
        <v>960</v>
      </c>
      <c r="C69" s="160" t="s">
        <v>996</v>
      </c>
      <c r="D69" s="242" t="s">
        <v>433</v>
      </c>
      <c r="E69" s="163" t="s">
        <v>241</v>
      </c>
      <c r="F69" s="160" t="s">
        <v>290</v>
      </c>
      <c r="G69" s="161">
        <v>10</v>
      </c>
      <c r="H69" s="161"/>
      <c r="I69" s="91"/>
      <c r="J69" s="91"/>
      <c r="K69" s="91"/>
      <c r="L69" s="162">
        <v>33</v>
      </c>
      <c r="M69" s="91"/>
      <c r="N69" s="91"/>
      <c r="O69" s="91"/>
      <c r="P69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330</v>
      </c>
    </row>
    <row r="70" spans="1:16" s="238" customFormat="1" ht="15">
      <c r="A70" s="190" t="s">
        <v>994</v>
      </c>
      <c r="B70" s="160" t="s">
        <v>960</v>
      </c>
      <c r="C70" s="160" t="s">
        <v>996</v>
      </c>
      <c r="D70" s="242" t="s">
        <v>433</v>
      </c>
      <c r="E70" s="163" t="s">
        <v>241</v>
      </c>
      <c r="F70" s="160" t="s">
        <v>264</v>
      </c>
      <c r="G70" s="161">
        <v>1</v>
      </c>
      <c r="H70" s="161"/>
      <c r="I70" s="91"/>
      <c r="J70" s="91"/>
      <c r="K70" s="91"/>
      <c r="L70" s="161">
        <v>2</v>
      </c>
      <c r="M70" s="91"/>
      <c r="N70" s="91"/>
      <c r="O70" s="91"/>
      <c r="P70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2</v>
      </c>
    </row>
    <row r="71" spans="1:16" s="238" customFormat="1" ht="15">
      <c r="A71" s="190" t="s">
        <v>994</v>
      </c>
      <c r="B71" s="160" t="s">
        <v>960</v>
      </c>
      <c r="C71" s="160" t="s">
        <v>996</v>
      </c>
      <c r="D71" s="242" t="s">
        <v>433</v>
      </c>
      <c r="E71" s="163" t="s">
        <v>241</v>
      </c>
      <c r="F71" s="160" t="s">
        <v>264</v>
      </c>
      <c r="G71" s="161">
        <v>5</v>
      </c>
      <c r="H71" s="161"/>
      <c r="I71" s="91"/>
      <c r="J71" s="91"/>
      <c r="K71" s="91"/>
      <c r="L71" s="161">
        <v>4</v>
      </c>
      <c r="M71" s="91"/>
      <c r="N71" s="91"/>
      <c r="O71" s="91"/>
      <c r="P71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20</v>
      </c>
    </row>
    <row r="72" spans="1:16" s="238" customFormat="1" ht="15">
      <c r="A72" s="190" t="s">
        <v>994</v>
      </c>
      <c r="B72" s="160" t="s">
        <v>960</v>
      </c>
      <c r="C72" s="160" t="s">
        <v>996</v>
      </c>
      <c r="D72" s="242" t="s">
        <v>433</v>
      </c>
      <c r="E72" s="163" t="s">
        <v>241</v>
      </c>
      <c r="F72" s="160" t="s">
        <v>264</v>
      </c>
      <c r="G72" s="161">
        <v>10</v>
      </c>
      <c r="H72" s="161"/>
      <c r="I72" s="91"/>
      <c r="J72" s="91"/>
      <c r="K72" s="91"/>
      <c r="L72" s="161">
        <v>40</v>
      </c>
      <c r="M72" s="91"/>
      <c r="N72" s="91"/>
      <c r="O72" s="91"/>
      <c r="P72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400</v>
      </c>
    </row>
    <row r="73" spans="1:16" s="238" customFormat="1" ht="15">
      <c r="A73" s="190" t="s">
        <v>994</v>
      </c>
      <c r="B73" s="160" t="s">
        <v>960</v>
      </c>
      <c r="C73" s="160" t="s">
        <v>996</v>
      </c>
      <c r="D73" s="242" t="s">
        <v>433</v>
      </c>
      <c r="E73" s="163" t="s">
        <v>241</v>
      </c>
      <c r="F73" s="160" t="s">
        <v>266</v>
      </c>
      <c r="G73" s="161">
        <v>1</v>
      </c>
      <c r="H73" s="161"/>
      <c r="I73" s="91"/>
      <c r="J73" s="91"/>
      <c r="K73" s="91"/>
      <c r="L73" s="161">
        <v>3</v>
      </c>
      <c r="M73" s="91"/>
      <c r="N73" s="91"/>
      <c r="O73" s="91"/>
      <c r="P73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3</v>
      </c>
    </row>
    <row r="74" spans="1:16" s="238" customFormat="1" ht="15">
      <c r="A74" s="190" t="s">
        <v>994</v>
      </c>
      <c r="B74" s="160" t="s">
        <v>960</v>
      </c>
      <c r="C74" s="160" t="s">
        <v>996</v>
      </c>
      <c r="D74" s="242" t="s">
        <v>433</v>
      </c>
      <c r="E74" s="163" t="s">
        <v>241</v>
      </c>
      <c r="F74" s="160" t="s">
        <v>266</v>
      </c>
      <c r="G74" s="161">
        <v>10</v>
      </c>
      <c r="H74" s="161"/>
      <c r="I74" s="91"/>
      <c r="J74" s="91"/>
      <c r="K74" s="91"/>
      <c r="L74" s="161">
        <v>6</v>
      </c>
      <c r="M74" s="91"/>
      <c r="N74" s="91"/>
      <c r="O74" s="91"/>
      <c r="P74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60</v>
      </c>
    </row>
    <row r="75" spans="1:16" s="238" customFormat="1" ht="30">
      <c r="A75" s="190" t="s">
        <v>994</v>
      </c>
      <c r="B75" s="160" t="s">
        <v>960</v>
      </c>
      <c r="C75" s="160" t="s">
        <v>1262</v>
      </c>
      <c r="D75" s="242" t="s">
        <v>433</v>
      </c>
      <c r="E75" s="163" t="s">
        <v>241</v>
      </c>
      <c r="F75" s="160" t="s">
        <v>268</v>
      </c>
      <c r="G75" s="161">
        <v>1</v>
      </c>
      <c r="H75" s="161"/>
      <c r="I75" s="91"/>
      <c r="J75" s="91"/>
      <c r="K75" s="91"/>
      <c r="L75" s="161">
        <v>1</v>
      </c>
      <c r="M75" s="91"/>
      <c r="N75" s="91"/>
      <c r="O75" s="91"/>
      <c r="P75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</v>
      </c>
    </row>
    <row r="76" spans="1:16" s="238" customFormat="1" ht="30">
      <c r="A76" s="190" t="s">
        <v>994</v>
      </c>
      <c r="B76" s="160" t="s">
        <v>960</v>
      </c>
      <c r="C76" s="160" t="s">
        <v>1262</v>
      </c>
      <c r="D76" s="242" t="s">
        <v>433</v>
      </c>
      <c r="E76" s="163" t="s">
        <v>241</v>
      </c>
      <c r="F76" s="160" t="s">
        <v>268</v>
      </c>
      <c r="G76" s="161">
        <v>1</v>
      </c>
      <c r="H76" s="161"/>
      <c r="I76" s="91"/>
      <c r="J76" s="91"/>
      <c r="K76" s="91"/>
      <c r="L76" s="161">
        <v>1</v>
      </c>
      <c r="M76" s="91"/>
      <c r="N76" s="91"/>
      <c r="O76" s="91"/>
      <c r="P76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</v>
      </c>
    </row>
    <row r="77" spans="1:16" s="238" customFormat="1" ht="30">
      <c r="A77" s="190" t="s">
        <v>994</v>
      </c>
      <c r="B77" s="160" t="s">
        <v>960</v>
      </c>
      <c r="C77" s="160" t="s">
        <v>1262</v>
      </c>
      <c r="D77" s="242" t="s">
        <v>433</v>
      </c>
      <c r="E77" s="163" t="s">
        <v>241</v>
      </c>
      <c r="F77" s="160" t="s">
        <v>268</v>
      </c>
      <c r="G77" s="161">
        <v>10</v>
      </c>
      <c r="H77" s="161"/>
      <c r="I77" s="91"/>
      <c r="J77" s="91"/>
      <c r="K77" s="91"/>
      <c r="L77" s="161">
        <v>1</v>
      </c>
      <c r="M77" s="91"/>
      <c r="N77" s="91"/>
      <c r="O77" s="91"/>
      <c r="P77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10</v>
      </c>
    </row>
    <row r="78" spans="1:16" s="238" customFormat="1" ht="30">
      <c r="A78" s="190" t="s">
        <v>994</v>
      </c>
      <c r="B78" s="160" t="s">
        <v>960</v>
      </c>
      <c r="C78" s="160" t="s">
        <v>1262</v>
      </c>
      <c r="D78" s="242" t="s">
        <v>433</v>
      </c>
      <c r="E78" s="163" t="s">
        <v>241</v>
      </c>
      <c r="F78" s="160" t="s">
        <v>270</v>
      </c>
      <c r="G78" s="161">
        <v>1</v>
      </c>
      <c r="H78" s="161"/>
      <c r="I78" s="91"/>
      <c r="J78" s="91"/>
      <c r="K78" s="91"/>
      <c r="L78" s="161">
        <v>1</v>
      </c>
      <c r="M78" s="91"/>
      <c r="N78" s="91"/>
      <c r="O78" s="91"/>
      <c r="P78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</v>
      </c>
    </row>
    <row r="79" spans="1:16" s="238" customFormat="1" ht="30">
      <c r="A79" s="190" t="s">
        <v>994</v>
      </c>
      <c r="B79" s="160" t="s">
        <v>960</v>
      </c>
      <c r="C79" s="160" t="s">
        <v>1262</v>
      </c>
      <c r="D79" s="242" t="s">
        <v>433</v>
      </c>
      <c r="E79" s="163" t="s">
        <v>241</v>
      </c>
      <c r="F79" s="160" t="s">
        <v>270</v>
      </c>
      <c r="G79" s="161">
        <v>4</v>
      </c>
      <c r="H79" s="161"/>
      <c r="I79" s="91"/>
      <c r="J79" s="91"/>
      <c r="K79" s="91"/>
      <c r="L79" s="161">
        <v>1</v>
      </c>
      <c r="M79" s="91"/>
      <c r="N79" s="91"/>
      <c r="O79" s="91"/>
      <c r="P79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4</v>
      </c>
    </row>
    <row r="80" spans="1:16" s="238" customFormat="1" ht="30">
      <c r="A80" s="190" t="s">
        <v>994</v>
      </c>
      <c r="B80" s="160" t="s">
        <v>960</v>
      </c>
      <c r="C80" s="160" t="s">
        <v>1262</v>
      </c>
      <c r="D80" s="242" t="s">
        <v>433</v>
      </c>
      <c r="E80" s="163" t="s">
        <v>241</v>
      </c>
      <c r="F80" s="160" t="s">
        <v>270</v>
      </c>
      <c r="G80" s="161">
        <v>5</v>
      </c>
      <c r="H80" s="161"/>
      <c r="I80" s="91"/>
      <c r="J80" s="91"/>
      <c r="K80" s="91"/>
      <c r="L80" s="161">
        <v>1</v>
      </c>
      <c r="M80" s="91"/>
      <c r="N80" s="91"/>
      <c r="O80" s="91"/>
      <c r="P80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5</v>
      </c>
    </row>
    <row r="81" spans="1:16" s="238" customFormat="1" ht="30">
      <c r="A81" s="190" t="s">
        <v>994</v>
      </c>
      <c r="B81" s="160" t="s">
        <v>960</v>
      </c>
      <c r="C81" s="160" t="s">
        <v>1262</v>
      </c>
      <c r="D81" s="242" t="s">
        <v>433</v>
      </c>
      <c r="E81" s="163" t="s">
        <v>241</v>
      </c>
      <c r="F81" s="160" t="s">
        <v>270</v>
      </c>
      <c r="G81" s="161">
        <v>10</v>
      </c>
      <c r="H81" s="161"/>
      <c r="I81" s="91"/>
      <c r="J81" s="91"/>
      <c r="K81" s="91"/>
      <c r="L81" s="161">
        <v>1</v>
      </c>
      <c r="M81" s="91"/>
      <c r="N81" s="91"/>
      <c r="O81" s="91"/>
      <c r="P81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10</v>
      </c>
    </row>
    <row r="82" spans="1:16" s="238" customFormat="1" ht="15">
      <c r="A82" s="190" t="s">
        <v>994</v>
      </c>
      <c r="B82" s="160" t="s">
        <v>960</v>
      </c>
      <c r="C82" s="160" t="s">
        <v>996</v>
      </c>
      <c r="D82" s="242" t="s">
        <v>433</v>
      </c>
      <c r="E82" s="163" t="s">
        <v>241</v>
      </c>
      <c r="F82" s="160" t="s">
        <v>274</v>
      </c>
      <c r="G82" s="161">
        <v>1</v>
      </c>
      <c r="H82" s="161"/>
      <c r="I82" s="91"/>
      <c r="J82" s="91"/>
      <c r="K82" s="91"/>
      <c r="L82" s="161">
        <v>1</v>
      </c>
      <c r="M82" s="91"/>
      <c r="N82" s="91"/>
      <c r="O82" s="91"/>
      <c r="P82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</v>
      </c>
    </row>
    <row r="83" spans="1:16" s="238" customFormat="1" ht="15">
      <c r="A83" s="190" t="s">
        <v>994</v>
      </c>
      <c r="B83" s="160" t="s">
        <v>960</v>
      </c>
      <c r="C83" s="160" t="s">
        <v>996</v>
      </c>
      <c r="D83" s="242" t="s">
        <v>433</v>
      </c>
      <c r="E83" s="163" t="s">
        <v>241</v>
      </c>
      <c r="F83" s="160" t="s">
        <v>274</v>
      </c>
      <c r="G83" s="161">
        <v>5</v>
      </c>
      <c r="H83" s="161"/>
      <c r="I83" s="91"/>
      <c r="J83" s="91"/>
      <c r="K83" s="91"/>
      <c r="L83" s="161">
        <v>1</v>
      </c>
      <c r="M83" s="91"/>
      <c r="N83" s="91"/>
      <c r="O83" s="91"/>
      <c r="P83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5</v>
      </c>
    </row>
    <row r="84" spans="1:16" s="238" customFormat="1" ht="15">
      <c r="A84" s="190" t="s">
        <v>994</v>
      </c>
      <c r="B84" s="160" t="s">
        <v>960</v>
      </c>
      <c r="C84" s="160" t="s">
        <v>996</v>
      </c>
      <c r="D84" s="242" t="s">
        <v>433</v>
      </c>
      <c r="E84" s="163" t="s">
        <v>241</v>
      </c>
      <c r="F84" s="160" t="s">
        <v>274</v>
      </c>
      <c r="G84" s="161">
        <v>7</v>
      </c>
      <c r="H84" s="161"/>
      <c r="I84" s="91"/>
      <c r="J84" s="91"/>
      <c r="K84" s="91"/>
      <c r="L84" s="161">
        <v>1</v>
      </c>
      <c r="M84" s="91"/>
      <c r="N84" s="91"/>
      <c r="O84" s="91"/>
      <c r="P84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7</v>
      </c>
    </row>
    <row r="85" spans="1:16" s="238" customFormat="1" ht="15">
      <c r="A85" s="190" t="s">
        <v>994</v>
      </c>
      <c r="B85" s="160" t="s">
        <v>960</v>
      </c>
      <c r="C85" s="160" t="s">
        <v>996</v>
      </c>
      <c r="D85" s="242" t="s">
        <v>433</v>
      </c>
      <c r="E85" s="163" t="s">
        <v>241</v>
      </c>
      <c r="F85" s="160" t="s">
        <v>274</v>
      </c>
      <c r="G85" s="161">
        <v>8</v>
      </c>
      <c r="H85" s="161"/>
      <c r="I85" s="91"/>
      <c r="J85" s="91"/>
      <c r="K85" s="91"/>
      <c r="L85" s="161">
        <v>1</v>
      </c>
      <c r="M85" s="91"/>
      <c r="N85" s="91"/>
      <c r="O85" s="91"/>
      <c r="P85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8</v>
      </c>
    </row>
    <row r="86" spans="1:16" s="238" customFormat="1" ht="15">
      <c r="A86" s="190" t="s">
        <v>994</v>
      </c>
      <c r="B86" s="160" t="s">
        <v>960</v>
      </c>
      <c r="C86" s="160" t="s">
        <v>1263</v>
      </c>
      <c r="D86" s="242" t="s">
        <v>433</v>
      </c>
      <c r="E86" s="163" t="s">
        <v>241</v>
      </c>
      <c r="F86" s="160" t="s">
        <v>373</v>
      </c>
      <c r="G86" s="161">
        <v>1</v>
      </c>
      <c r="H86" s="161"/>
      <c r="I86" s="91"/>
      <c r="J86" s="91"/>
      <c r="K86" s="91"/>
      <c r="L86" s="161">
        <v>1</v>
      </c>
      <c r="M86" s="91"/>
      <c r="N86" s="91"/>
      <c r="O86" s="91"/>
      <c r="P86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</v>
      </c>
    </row>
    <row r="87" spans="1:16" s="238" customFormat="1" ht="15">
      <c r="A87" s="190" t="s">
        <v>994</v>
      </c>
      <c r="B87" s="160" t="s">
        <v>960</v>
      </c>
      <c r="C87" s="160" t="s">
        <v>1263</v>
      </c>
      <c r="D87" s="242" t="s">
        <v>433</v>
      </c>
      <c r="E87" s="163" t="s">
        <v>241</v>
      </c>
      <c r="F87" s="160" t="s">
        <v>373</v>
      </c>
      <c r="G87" s="161">
        <v>1</v>
      </c>
      <c r="H87" s="161"/>
      <c r="I87" s="91"/>
      <c r="J87" s="91"/>
      <c r="K87" s="91"/>
      <c r="L87" s="161">
        <v>1</v>
      </c>
      <c r="M87" s="91"/>
      <c r="N87" s="91"/>
      <c r="O87" s="91"/>
      <c r="P87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</v>
      </c>
    </row>
    <row r="88" spans="1:16" s="238" customFormat="1" ht="15">
      <c r="A88" s="190" t="s">
        <v>994</v>
      </c>
      <c r="B88" s="160" t="s">
        <v>960</v>
      </c>
      <c r="C88" s="160" t="s">
        <v>1263</v>
      </c>
      <c r="D88" s="242" t="s">
        <v>433</v>
      </c>
      <c r="E88" s="163" t="s">
        <v>241</v>
      </c>
      <c r="F88" s="160" t="s">
        <v>373</v>
      </c>
      <c r="G88" s="161">
        <v>10</v>
      </c>
      <c r="H88" s="161"/>
      <c r="I88" s="91"/>
      <c r="J88" s="91"/>
      <c r="K88" s="91"/>
      <c r="L88" s="161">
        <v>2</v>
      </c>
      <c r="M88" s="91"/>
      <c r="N88" s="91"/>
      <c r="O88" s="91"/>
      <c r="P88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20</v>
      </c>
    </row>
    <row r="89" spans="1:16" s="238" customFormat="1" ht="15">
      <c r="A89" s="190" t="s">
        <v>994</v>
      </c>
      <c r="B89" s="160" t="s">
        <v>960</v>
      </c>
      <c r="C89" s="160" t="s">
        <v>996</v>
      </c>
      <c r="D89" s="242" t="s">
        <v>433</v>
      </c>
      <c r="E89" s="163" t="s">
        <v>241</v>
      </c>
      <c r="F89" s="160" t="s">
        <v>282</v>
      </c>
      <c r="G89" s="161">
        <v>1</v>
      </c>
      <c r="H89" s="161"/>
      <c r="I89" s="91"/>
      <c r="J89" s="91"/>
      <c r="K89" s="91"/>
      <c r="L89" s="161">
        <v>1</v>
      </c>
      <c r="M89" s="91"/>
      <c r="N89" s="91"/>
      <c r="O89" s="91"/>
      <c r="P89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</v>
      </c>
    </row>
    <row r="90" spans="1:16" s="238" customFormat="1" ht="15">
      <c r="A90" s="190" t="s">
        <v>994</v>
      </c>
      <c r="B90" s="160" t="s">
        <v>960</v>
      </c>
      <c r="C90" s="160" t="s">
        <v>996</v>
      </c>
      <c r="D90" s="242" t="s">
        <v>433</v>
      </c>
      <c r="E90" s="163" t="s">
        <v>241</v>
      </c>
      <c r="F90" s="160" t="s">
        <v>282</v>
      </c>
      <c r="G90" s="161">
        <v>10</v>
      </c>
      <c r="H90" s="161"/>
      <c r="I90" s="91"/>
      <c r="J90" s="91"/>
      <c r="K90" s="91"/>
      <c r="L90" s="161">
        <v>1</v>
      </c>
      <c r="M90" s="91"/>
      <c r="N90" s="91"/>
      <c r="O90" s="91"/>
      <c r="P90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10</v>
      </c>
    </row>
    <row r="91" spans="1:16" s="238" customFormat="1" ht="15">
      <c r="A91" s="190" t="s">
        <v>994</v>
      </c>
      <c r="B91" s="160" t="s">
        <v>960</v>
      </c>
      <c r="C91" s="160" t="s">
        <v>996</v>
      </c>
      <c r="D91" s="242" t="s">
        <v>433</v>
      </c>
      <c r="E91" s="163" t="s">
        <v>241</v>
      </c>
      <c r="F91" s="160" t="s">
        <v>286</v>
      </c>
      <c r="G91" s="161">
        <v>1</v>
      </c>
      <c r="H91" s="161"/>
      <c r="I91" s="91"/>
      <c r="J91" s="91"/>
      <c r="K91" s="91"/>
      <c r="L91" s="161">
        <v>1</v>
      </c>
      <c r="M91" s="91"/>
      <c r="N91" s="91"/>
      <c r="O91" s="91"/>
      <c r="P91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</v>
      </c>
    </row>
    <row r="92" spans="1:16" s="238" customFormat="1" ht="15">
      <c r="A92" s="190" t="s">
        <v>994</v>
      </c>
      <c r="B92" s="160" t="s">
        <v>960</v>
      </c>
      <c r="C92" s="160" t="s">
        <v>996</v>
      </c>
      <c r="D92" s="242" t="s">
        <v>433</v>
      </c>
      <c r="E92" s="163" t="s">
        <v>241</v>
      </c>
      <c r="F92" s="160" t="s">
        <v>286</v>
      </c>
      <c r="G92" s="161">
        <v>4</v>
      </c>
      <c r="H92" s="161"/>
      <c r="I92" s="91"/>
      <c r="J92" s="91"/>
      <c r="K92" s="91"/>
      <c r="L92" s="161">
        <v>1</v>
      </c>
      <c r="M92" s="91"/>
      <c r="N92" s="91"/>
      <c r="O92" s="91"/>
      <c r="P92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4</v>
      </c>
    </row>
    <row r="93" spans="1:16" s="238" customFormat="1" ht="15">
      <c r="A93" s="190" t="s">
        <v>994</v>
      </c>
      <c r="B93" s="160" t="s">
        <v>960</v>
      </c>
      <c r="C93" s="160" t="s">
        <v>996</v>
      </c>
      <c r="D93" s="242" t="s">
        <v>433</v>
      </c>
      <c r="E93" s="163" t="s">
        <v>241</v>
      </c>
      <c r="F93" s="160" t="s">
        <v>286</v>
      </c>
      <c r="G93" s="161">
        <v>8</v>
      </c>
      <c r="H93" s="161"/>
      <c r="I93" s="91"/>
      <c r="J93" s="91"/>
      <c r="K93" s="91"/>
      <c r="L93" s="161">
        <v>1</v>
      </c>
      <c r="M93" s="91"/>
      <c r="N93" s="91"/>
      <c r="O93" s="91"/>
      <c r="P93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8</v>
      </c>
    </row>
    <row r="94" spans="1:16" s="238" customFormat="1" ht="15">
      <c r="A94" s="190" t="s">
        <v>994</v>
      </c>
      <c r="B94" s="160" t="s">
        <v>960</v>
      </c>
      <c r="C94" s="160" t="s">
        <v>996</v>
      </c>
      <c r="D94" s="242" t="s">
        <v>433</v>
      </c>
      <c r="E94" s="163" t="s">
        <v>241</v>
      </c>
      <c r="F94" s="160" t="s">
        <v>286</v>
      </c>
      <c r="G94" s="161">
        <v>10</v>
      </c>
      <c r="H94" s="161"/>
      <c r="I94" s="91"/>
      <c r="J94" s="91"/>
      <c r="K94" s="91"/>
      <c r="L94" s="161">
        <v>2</v>
      </c>
      <c r="M94" s="91"/>
      <c r="N94" s="91"/>
      <c r="O94" s="91"/>
      <c r="P94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20</v>
      </c>
    </row>
    <row r="95" spans="1:16" s="238" customFormat="1" ht="15">
      <c r="A95" s="190" t="s">
        <v>994</v>
      </c>
      <c r="B95" s="160" t="s">
        <v>960</v>
      </c>
      <c r="C95" s="160" t="s">
        <v>996</v>
      </c>
      <c r="D95" s="242" t="s">
        <v>433</v>
      </c>
      <c r="E95" s="163" t="s">
        <v>241</v>
      </c>
      <c r="F95" s="160" t="s">
        <v>286</v>
      </c>
      <c r="G95" s="161">
        <v>10</v>
      </c>
      <c r="H95" s="161"/>
      <c r="I95" s="91"/>
      <c r="J95" s="91"/>
      <c r="K95" s="91"/>
      <c r="L95" s="161">
        <v>3</v>
      </c>
      <c r="M95" s="91"/>
      <c r="N95" s="91"/>
      <c r="O95" s="91"/>
      <c r="P95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30</v>
      </c>
    </row>
    <row r="96" spans="1:16" s="238" customFormat="1" ht="15">
      <c r="A96" s="190" t="s">
        <v>994</v>
      </c>
      <c r="B96" s="160" t="s">
        <v>960</v>
      </c>
      <c r="C96" s="160" t="s">
        <v>996</v>
      </c>
      <c r="D96" s="242" t="s">
        <v>433</v>
      </c>
      <c r="E96" s="163" t="s">
        <v>241</v>
      </c>
      <c r="F96" s="160" t="s">
        <v>242</v>
      </c>
      <c r="G96" s="161">
        <v>1</v>
      </c>
      <c r="H96" s="161"/>
      <c r="I96" s="91"/>
      <c r="J96" s="91"/>
      <c r="K96" s="91"/>
      <c r="L96" s="161">
        <v>2</v>
      </c>
      <c r="M96" s="91"/>
      <c r="N96" s="91"/>
      <c r="O96" s="91"/>
      <c r="P96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2</v>
      </c>
    </row>
    <row r="97" spans="1:16" s="238" customFormat="1" ht="15">
      <c r="A97" s="190" t="s">
        <v>994</v>
      </c>
      <c r="B97" s="160" t="s">
        <v>960</v>
      </c>
      <c r="C97" s="160" t="s">
        <v>996</v>
      </c>
      <c r="D97" s="242" t="s">
        <v>433</v>
      </c>
      <c r="E97" s="163" t="s">
        <v>241</v>
      </c>
      <c r="F97" s="160" t="s">
        <v>242</v>
      </c>
      <c r="G97" s="161">
        <v>10</v>
      </c>
      <c r="H97" s="161"/>
      <c r="I97" s="91"/>
      <c r="J97" s="91"/>
      <c r="K97" s="91"/>
      <c r="L97" s="161">
        <v>5</v>
      </c>
      <c r="M97" s="91"/>
      <c r="N97" s="91"/>
      <c r="O97" s="91"/>
      <c r="P97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50</v>
      </c>
    </row>
    <row r="98" spans="1:16" s="238" customFormat="1" ht="15">
      <c r="A98" s="190" t="s">
        <v>994</v>
      </c>
      <c r="B98" s="160" t="s">
        <v>960</v>
      </c>
      <c r="C98" s="160" t="s">
        <v>996</v>
      </c>
      <c r="D98" s="242" t="s">
        <v>433</v>
      </c>
      <c r="E98" s="163" t="s">
        <v>241</v>
      </c>
      <c r="F98" s="160" t="s">
        <v>242</v>
      </c>
      <c r="G98" s="161">
        <v>10</v>
      </c>
      <c r="H98" s="161"/>
      <c r="I98" s="91"/>
      <c r="J98" s="91"/>
      <c r="K98" s="91"/>
      <c r="L98" s="161">
        <v>2</v>
      </c>
      <c r="M98" s="91"/>
      <c r="N98" s="91"/>
      <c r="O98" s="91"/>
      <c r="P98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20</v>
      </c>
    </row>
    <row r="99" spans="1:16" s="238" customFormat="1" ht="30">
      <c r="A99" s="190" t="s">
        <v>994</v>
      </c>
      <c r="B99" s="160" t="s">
        <v>960</v>
      </c>
      <c r="C99" s="160" t="s">
        <v>1262</v>
      </c>
      <c r="D99" s="242" t="s">
        <v>433</v>
      </c>
      <c r="E99" s="163" t="s">
        <v>241</v>
      </c>
      <c r="F99" s="160" t="s">
        <v>246</v>
      </c>
      <c r="G99" s="161">
        <v>1</v>
      </c>
      <c r="H99" s="161"/>
      <c r="I99" s="91"/>
      <c r="J99" s="91"/>
      <c r="K99" s="91"/>
      <c r="L99" s="161">
        <v>1</v>
      </c>
      <c r="M99" s="91"/>
      <c r="N99" s="91"/>
      <c r="O99" s="91"/>
      <c r="P99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</v>
      </c>
    </row>
    <row r="100" spans="1:16" s="238" customFormat="1" ht="30">
      <c r="A100" s="190" t="s">
        <v>994</v>
      </c>
      <c r="B100" s="160" t="s">
        <v>960</v>
      </c>
      <c r="C100" s="160" t="s">
        <v>1262</v>
      </c>
      <c r="D100" s="242" t="s">
        <v>433</v>
      </c>
      <c r="E100" s="163" t="s">
        <v>241</v>
      </c>
      <c r="F100" s="160" t="s">
        <v>246</v>
      </c>
      <c r="G100" s="161">
        <v>1</v>
      </c>
      <c r="H100" s="161"/>
      <c r="I100" s="91"/>
      <c r="J100" s="91"/>
      <c r="K100" s="91"/>
      <c r="L100" s="161">
        <v>1</v>
      </c>
      <c r="M100" s="91"/>
      <c r="N100" s="91"/>
      <c r="O100" s="91"/>
      <c r="P100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</v>
      </c>
    </row>
    <row r="101" spans="1:16" s="238" customFormat="1" ht="30">
      <c r="A101" s="190" t="s">
        <v>994</v>
      </c>
      <c r="B101" s="160" t="s">
        <v>960</v>
      </c>
      <c r="C101" s="160" t="s">
        <v>1262</v>
      </c>
      <c r="D101" s="242" t="s">
        <v>433</v>
      </c>
      <c r="E101" s="163" t="s">
        <v>241</v>
      </c>
      <c r="F101" s="160" t="s">
        <v>246</v>
      </c>
      <c r="G101" s="161">
        <v>10</v>
      </c>
      <c r="H101" s="161"/>
      <c r="I101" s="91"/>
      <c r="J101" s="91"/>
      <c r="K101" s="91"/>
      <c r="L101" s="161">
        <v>1</v>
      </c>
      <c r="M101" s="91"/>
      <c r="N101" s="91"/>
      <c r="O101" s="91"/>
      <c r="P101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10</v>
      </c>
    </row>
    <row r="102" spans="1:16" s="238" customFormat="1" ht="30">
      <c r="A102" s="190" t="s">
        <v>994</v>
      </c>
      <c r="B102" s="160" t="s">
        <v>960</v>
      </c>
      <c r="C102" s="160" t="s">
        <v>1262</v>
      </c>
      <c r="D102" s="242" t="s">
        <v>433</v>
      </c>
      <c r="E102" s="163" t="s">
        <v>241</v>
      </c>
      <c r="F102" s="160" t="s">
        <v>246</v>
      </c>
      <c r="G102" s="161">
        <v>10</v>
      </c>
      <c r="H102" s="161"/>
      <c r="I102" s="91"/>
      <c r="J102" s="91"/>
      <c r="K102" s="91"/>
      <c r="L102" s="161">
        <v>1</v>
      </c>
      <c r="M102" s="91"/>
      <c r="N102" s="91"/>
      <c r="O102" s="91"/>
      <c r="P102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10</v>
      </c>
    </row>
    <row r="103" spans="1:16" s="238" customFormat="1" ht="30">
      <c r="A103" s="190" t="s">
        <v>994</v>
      </c>
      <c r="B103" s="160" t="s">
        <v>960</v>
      </c>
      <c r="C103" s="160" t="s">
        <v>996</v>
      </c>
      <c r="D103" s="242" t="s">
        <v>433</v>
      </c>
      <c r="E103" s="163" t="s">
        <v>241</v>
      </c>
      <c r="F103" s="160" t="s">
        <v>256</v>
      </c>
      <c r="G103" s="161">
        <v>1</v>
      </c>
      <c r="H103" s="161"/>
      <c r="I103" s="91"/>
      <c r="J103" s="91"/>
      <c r="K103" s="91"/>
      <c r="L103" s="161">
        <v>1</v>
      </c>
      <c r="M103" s="91"/>
      <c r="N103" s="91"/>
      <c r="O103" s="91"/>
      <c r="P103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</v>
      </c>
    </row>
    <row r="104" spans="1:16" s="238" customFormat="1" ht="30">
      <c r="A104" s="190" t="s">
        <v>994</v>
      </c>
      <c r="B104" s="160" t="s">
        <v>960</v>
      </c>
      <c r="C104" s="160" t="s">
        <v>996</v>
      </c>
      <c r="D104" s="242" t="s">
        <v>433</v>
      </c>
      <c r="E104" s="163" t="s">
        <v>241</v>
      </c>
      <c r="F104" s="160" t="s">
        <v>256</v>
      </c>
      <c r="G104" s="161">
        <v>1</v>
      </c>
      <c r="H104" s="161"/>
      <c r="I104" s="91"/>
      <c r="J104" s="91"/>
      <c r="K104" s="91"/>
      <c r="L104" s="161">
        <v>1</v>
      </c>
      <c r="M104" s="91"/>
      <c r="N104" s="91"/>
      <c r="O104" s="91"/>
      <c r="P104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</v>
      </c>
    </row>
    <row r="105" spans="1:16" s="238" customFormat="1" ht="30">
      <c r="A105" s="190" t="s">
        <v>994</v>
      </c>
      <c r="B105" s="160" t="s">
        <v>960</v>
      </c>
      <c r="C105" s="160" t="s">
        <v>996</v>
      </c>
      <c r="D105" s="242" t="s">
        <v>433</v>
      </c>
      <c r="E105" s="163" t="s">
        <v>241</v>
      </c>
      <c r="F105" s="160" t="s">
        <v>256</v>
      </c>
      <c r="G105" s="161">
        <v>10</v>
      </c>
      <c r="H105" s="161"/>
      <c r="I105" s="91"/>
      <c r="J105" s="91"/>
      <c r="K105" s="91"/>
      <c r="L105" s="161">
        <v>2</v>
      </c>
      <c r="M105" s="91"/>
      <c r="N105" s="91"/>
      <c r="O105" s="91"/>
      <c r="P105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20</v>
      </c>
    </row>
    <row r="106" spans="1:16" s="238" customFormat="1" ht="30">
      <c r="A106" s="190" t="s">
        <v>994</v>
      </c>
      <c r="B106" s="160" t="s">
        <v>960</v>
      </c>
      <c r="C106" s="160" t="s">
        <v>996</v>
      </c>
      <c r="D106" s="242" t="s">
        <v>433</v>
      </c>
      <c r="E106" s="163" t="s">
        <v>241</v>
      </c>
      <c r="F106" s="160" t="s">
        <v>280</v>
      </c>
      <c r="G106" s="161">
        <v>1</v>
      </c>
      <c r="H106" s="161"/>
      <c r="I106" s="91"/>
      <c r="J106" s="91"/>
      <c r="K106" s="91"/>
      <c r="L106" s="161">
        <v>1</v>
      </c>
      <c r="M106" s="91"/>
      <c r="N106" s="91"/>
      <c r="O106" s="91"/>
      <c r="P106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</v>
      </c>
    </row>
    <row r="107" spans="1:16" s="238" customFormat="1" ht="30">
      <c r="A107" s="190" t="s">
        <v>994</v>
      </c>
      <c r="B107" s="160" t="s">
        <v>960</v>
      </c>
      <c r="C107" s="160" t="s">
        <v>1262</v>
      </c>
      <c r="D107" s="242" t="s">
        <v>433</v>
      </c>
      <c r="E107" s="163" t="s">
        <v>241</v>
      </c>
      <c r="F107" s="160" t="s">
        <v>280</v>
      </c>
      <c r="G107" s="161">
        <v>1</v>
      </c>
      <c r="H107" s="161"/>
      <c r="I107" s="91"/>
      <c r="J107" s="91"/>
      <c r="K107" s="91"/>
      <c r="L107" s="161">
        <v>1</v>
      </c>
      <c r="M107" s="91"/>
      <c r="N107" s="91"/>
      <c r="O107" s="91"/>
      <c r="P107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</v>
      </c>
    </row>
    <row r="108" spans="1:16" s="238" customFormat="1" ht="30">
      <c r="A108" s="190" t="s">
        <v>994</v>
      </c>
      <c r="B108" s="160" t="s">
        <v>960</v>
      </c>
      <c r="C108" s="160" t="s">
        <v>1262</v>
      </c>
      <c r="D108" s="242" t="s">
        <v>433</v>
      </c>
      <c r="E108" s="163" t="s">
        <v>241</v>
      </c>
      <c r="F108" s="160" t="s">
        <v>280</v>
      </c>
      <c r="G108" s="161">
        <v>1</v>
      </c>
      <c r="H108" s="161"/>
      <c r="I108" s="91"/>
      <c r="J108" s="91"/>
      <c r="K108" s="91"/>
      <c r="L108" s="161">
        <v>1</v>
      </c>
      <c r="M108" s="91"/>
      <c r="N108" s="91"/>
      <c r="O108" s="91"/>
      <c r="P108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</v>
      </c>
    </row>
    <row r="109" spans="1:16" s="238" customFormat="1" ht="30">
      <c r="A109" s="190" t="s">
        <v>994</v>
      </c>
      <c r="B109" s="160" t="s">
        <v>960</v>
      </c>
      <c r="C109" s="160" t="s">
        <v>996</v>
      </c>
      <c r="D109" s="242" t="s">
        <v>433</v>
      </c>
      <c r="E109" s="163" t="s">
        <v>241</v>
      </c>
      <c r="F109" s="160" t="s">
        <v>280</v>
      </c>
      <c r="G109" s="161">
        <v>5</v>
      </c>
      <c r="H109" s="161"/>
      <c r="I109" s="91"/>
      <c r="J109" s="91"/>
      <c r="K109" s="91"/>
      <c r="L109" s="161">
        <v>2</v>
      </c>
      <c r="M109" s="91"/>
      <c r="N109" s="91"/>
      <c r="O109" s="91"/>
      <c r="P109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10</v>
      </c>
    </row>
    <row r="110" spans="1:16" s="238" customFormat="1" ht="30">
      <c r="A110" s="190" t="s">
        <v>994</v>
      </c>
      <c r="B110" s="160" t="s">
        <v>960</v>
      </c>
      <c r="C110" s="160" t="s">
        <v>1262</v>
      </c>
      <c r="D110" s="242" t="s">
        <v>433</v>
      </c>
      <c r="E110" s="163" t="s">
        <v>241</v>
      </c>
      <c r="F110" s="160" t="s">
        <v>280</v>
      </c>
      <c r="G110" s="161">
        <v>5</v>
      </c>
      <c r="H110" s="161"/>
      <c r="I110" s="91"/>
      <c r="J110" s="91"/>
      <c r="K110" s="91"/>
      <c r="L110" s="161">
        <v>1</v>
      </c>
      <c r="M110" s="91"/>
      <c r="N110" s="91"/>
      <c r="O110" s="91"/>
      <c r="P110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5</v>
      </c>
    </row>
    <row r="111" spans="1:16" s="238" customFormat="1" ht="15">
      <c r="A111" s="190" t="s">
        <v>994</v>
      </c>
      <c r="B111" s="160" t="s">
        <v>960</v>
      </c>
      <c r="C111" s="160" t="s">
        <v>1262</v>
      </c>
      <c r="D111" s="242" t="s">
        <v>433</v>
      </c>
      <c r="E111" s="163" t="s">
        <v>241</v>
      </c>
      <c r="F111" s="160" t="s">
        <v>288</v>
      </c>
      <c r="G111" s="161">
        <v>1</v>
      </c>
      <c r="H111" s="161"/>
      <c r="I111" s="91"/>
      <c r="J111" s="91"/>
      <c r="K111" s="91"/>
      <c r="L111" s="161">
        <v>1</v>
      </c>
      <c r="M111" s="91"/>
      <c r="N111" s="91"/>
      <c r="O111" s="91"/>
      <c r="P111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</v>
      </c>
    </row>
    <row r="112" spans="1:16" s="238" customFormat="1" ht="15">
      <c r="A112" s="190" t="s">
        <v>994</v>
      </c>
      <c r="B112" s="160" t="s">
        <v>960</v>
      </c>
      <c r="C112" s="160" t="s">
        <v>1262</v>
      </c>
      <c r="D112" s="242" t="s">
        <v>433</v>
      </c>
      <c r="E112" s="163" t="s">
        <v>241</v>
      </c>
      <c r="F112" s="160" t="s">
        <v>288</v>
      </c>
      <c r="G112" s="161">
        <v>12</v>
      </c>
      <c r="H112" s="161"/>
      <c r="I112" s="91"/>
      <c r="J112" s="91"/>
      <c r="K112" s="91"/>
      <c r="L112" s="161">
        <v>1</v>
      </c>
      <c r="M112" s="91"/>
      <c r="N112" s="91"/>
      <c r="O112" s="91"/>
      <c r="P112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12</v>
      </c>
    </row>
    <row r="113" spans="1:16" s="238" customFormat="1" ht="15">
      <c r="A113" s="190" t="s">
        <v>994</v>
      </c>
      <c r="B113" s="160" t="s">
        <v>960</v>
      </c>
      <c r="C113" s="160" t="s">
        <v>1262</v>
      </c>
      <c r="D113" s="242" t="s">
        <v>433</v>
      </c>
      <c r="E113" s="163" t="s">
        <v>241</v>
      </c>
      <c r="F113" s="160" t="s">
        <v>288</v>
      </c>
      <c r="G113" s="161">
        <v>12</v>
      </c>
      <c r="H113" s="161"/>
      <c r="I113" s="91"/>
      <c r="J113" s="91"/>
      <c r="K113" s="91"/>
      <c r="L113" s="161">
        <v>1</v>
      </c>
      <c r="M113" s="91"/>
      <c r="N113" s="91"/>
      <c r="O113" s="91"/>
      <c r="P113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12</v>
      </c>
    </row>
    <row r="114" spans="1:16" s="238" customFormat="1" ht="15">
      <c r="A114" s="190" t="s">
        <v>994</v>
      </c>
      <c r="B114" s="160" t="s">
        <v>960</v>
      </c>
      <c r="C114" s="160" t="s">
        <v>960</v>
      </c>
      <c r="D114" s="242" t="s">
        <v>433</v>
      </c>
      <c r="E114" s="163" t="s">
        <v>1288</v>
      </c>
      <c r="F114" s="160" t="s">
        <v>248</v>
      </c>
      <c r="G114" s="161">
        <v>3</v>
      </c>
      <c r="H114" s="161"/>
      <c r="I114" s="91"/>
      <c r="J114" s="91"/>
      <c r="K114" s="91"/>
      <c r="L114" s="161">
        <v>1</v>
      </c>
      <c r="M114" s="91"/>
      <c r="N114" s="91"/>
      <c r="O114" s="91"/>
      <c r="P114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3</v>
      </c>
    </row>
    <row r="115" spans="1:16" s="238" customFormat="1" ht="15">
      <c r="A115" s="190" t="s">
        <v>994</v>
      </c>
      <c r="B115" s="160" t="s">
        <v>960</v>
      </c>
      <c r="C115" s="160" t="s">
        <v>960</v>
      </c>
      <c r="D115" s="242" t="s">
        <v>433</v>
      </c>
      <c r="E115" s="163" t="s">
        <v>1288</v>
      </c>
      <c r="F115" s="160" t="s">
        <v>250</v>
      </c>
      <c r="G115" s="161">
        <v>6</v>
      </c>
      <c r="H115" s="161"/>
      <c r="I115" s="91"/>
      <c r="J115" s="91"/>
      <c r="K115" s="91"/>
      <c r="L115" s="161">
        <v>1</v>
      </c>
      <c r="M115" s="91"/>
      <c r="N115" s="91"/>
      <c r="O115" s="91"/>
      <c r="P115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6</v>
      </c>
    </row>
    <row r="116" spans="1:16" s="238" customFormat="1" ht="15">
      <c r="A116" s="190" t="s">
        <v>994</v>
      </c>
      <c r="B116" s="160" t="s">
        <v>960</v>
      </c>
      <c r="C116" s="160" t="s">
        <v>960</v>
      </c>
      <c r="D116" s="242" t="s">
        <v>433</v>
      </c>
      <c r="E116" s="163" t="s">
        <v>1288</v>
      </c>
      <c r="F116" s="160" t="s">
        <v>252</v>
      </c>
      <c r="G116" s="161">
        <v>3</v>
      </c>
      <c r="H116" s="161"/>
      <c r="I116" s="91"/>
      <c r="J116" s="91"/>
      <c r="K116" s="91"/>
      <c r="L116" s="161">
        <v>1</v>
      </c>
      <c r="M116" s="91"/>
      <c r="N116" s="91"/>
      <c r="O116" s="91"/>
      <c r="P116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3</v>
      </c>
    </row>
    <row r="117" spans="1:16" s="238" customFormat="1" ht="15">
      <c r="A117" s="190" t="s">
        <v>994</v>
      </c>
      <c r="B117" s="160" t="s">
        <v>960</v>
      </c>
      <c r="C117" s="160" t="s">
        <v>960</v>
      </c>
      <c r="D117" s="242" t="s">
        <v>433</v>
      </c>
      <c r="E117" s="163" t="s">
        <v>1288</v>
      </c>
      <c r="F117" s="160" t="s">
        <v>258</v>
      </c>
      <c r="G117" s="161">
        <v>10</v>
      </c>
      <c r="H117" s="161"/>
      <c r="I117" s="91"/>
      <c r="J117" s="91"/>
      <c r="K117" s="91"/>
      <c r="L117" s="161">
        <v>5</v>
      </c>
      <c r="M117" s="91"/>
      <c r="N117" s="91"/>
      <c r="O117" s="91"/>
      <c r="P117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50</v>
      </c>
    </row>
    <row r="118" spans="1:16" s="238" customFormat="1" ht="15">
      <c r="A118" s="190" t="s">
        <v>994</v>
      </c>
      <c r="B118" s="160" t="s">
        <v>960</v>
      </c>
      <c r="C118" s="160" t="s">
        <v>960</v>
      </c>
      <c r="D118" s="242" t="s">
        <v>433</v>
      </c>
      <c r="E118" s="163" t="s">
        <v>1288</v>
      </c>
      <c r="F118" s="160" t="s">
        <v>290</v>
      </c>
      <c r="G118" s="161">
        <v>6</v>
      </c>
      <c r="H118" s="161"/>
      <c r="I118" s="91"/>
      <c r="J118" s="91"/>
      <c r="K118" s="91"/>
      <c r="L118" s="161">
        <v>2</v>
      </c>
      <c r="M118" s="91"/>
      <c r="N118" s="91"/>
      <c r="O118" s="91"/>
      <c r="P118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12</v>
      </c>
    </row>
    <row r="119" spans="1:16" s="238" customFormat="1" ht="15">
      <c r="A119" s="190" t="s">
        <v>994</v>
      </c>
      <c r="B119" s="160" t="s">
        <v>960</v>
      </c>
      <c r="C119" s="160" t="s">
        <v>960</v>
      </c>
      <c r="D119" s="242" t="s">
        <v>433</v>
      </c>
      <c r="E119" s="163" t="s">
        <v>1288</v>
      </c>
      <c r="F119" s="160" t="s">
        <v>266</v>
      </c>
      <c r="G119" s="161">
        <v>10</v>
      </c>
      <c r="H119" s="161"/>
      <c r="I119" s="91"/>
      <c r="J119" s="91"/>
      <c r="K119" s="91"/>
      <c r="L119" s="161">
        <v>1</v>
      </c>
      <c r="M119" s="91"/>
      <c r="N119" s="91"/>
      <c r="O119" s="91"/>
      <c r="P119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10</v>
      </c>
    </row>
    <row r="120" spans="1:16" s="238" customFormat="1" ht="15">
      <c r="A120" s="190" t="s">
        <v>994</v>
      </c>
      <c r="B120" s="160" t="s">
        <v>960</v>
      </c>
      <c r="C120" s="160" t="s">
        <v>960</v>
      </c>
      <c r="D120" s="242" t="s">
        <v>433</v>
      </c>
      <c r="E120" s="163" t="s">
        <v>1288</v>
      </c>
      <c r="F120" s="160" t="s">
        <v>282</v>
      </c>
      <c r="G120" s="161">
        <v>10</v>
      </c>
      <c r="H120" s="161"/>
      <c r="I120" s="91"/>
      <c r="J120" s="91"/>
      <c r="K120" s="91"/>
      <c r="L120" s="161">
        <v>2</v>
      </c>
      <c r="M120" s="91"/>
      <c r="N120" s="91"/>
      <c r="O120" s="91"/>
      <c r="P120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20</v>
      </c>
    </row>
    <row r="121" spans="1:16" s="238" customFormat="1" ht="15">
      <c r="A121" s="190" t="s">
        <v>994</v>
      </c>
      <c r="B121" s="160" t="s">
        <v>960</v>
      </c>
      <c r="C121" s="160" t="s">
        <v>960</v>
      </c>
      <c r="D121" s="242" t="s">
        <v>433</v>
      </c>
      <c r="E121" s="163" t="s">
        <v>1288</v>
      </c>
      <c r="F121" s="160" t="s">
        <v>282</v>
      </c>
      <c r="G121" s="161">
        <v>10</v>
      </c>
      <c r="H121" s="161"/>
      <c r="I121" s="91"/>
      <c r="J121" s="91"/>
      <c r="K121" s="91"/>
      <c r="L121" s="161">
        <v>1</v>
      </c>
      <c r="M121" s="91"/>
      <c r="N121" s="91"/>
      <c r="O121" s="91"/>
      <c r="P121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10</v>
      </c>
    </row>
    <row r="122" spans="1:16" s="238" customFormat="1" ht="15">
      <c r="A122" s="190" t="s">
        <v>994</v>
      </c>
      <c r="B122" s="160" t="s">
        <v>960</v>
      </c>
      <c r="C122" s="160" t="s">
        <v>960</v>
      </c>
      <c r="D122" s="242" t="s">
        <v>433</v>
      </c>
      <c r="E122" s="163" t="s">
        <v>1288</v>
      </c>
      <c r="F122" s="160" t="s">
        <v>282</v>
      </c>
      <c r="G122" s="161">
        <v>10</v>
      </c>
      <c r="H122" s="161"/>
      <c r="I122" s="91"/>
      <c r="J122" s="91"/>
      <c r="K122" s="91"/>
      <c r="L122" s="161">
        <v>1</v>
      </c>
      <c r="M122" s="91"/>
      <c r="N122" s="91"/>
      <c r="O122" s="91"/>
      <c r="P122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10</v>
      </c>
    </row>
    <row r="123" spans="1:16" s="238" customFormat="1" ht="15">
      <c r="A123" s="190" t="s">
        <v>994</v>
      </c>
      <c r="B123" s="160" t="s">
        <v>960</v>
      </c>
      <c r="C123" s="160" t="s">
        <v>960</v>
      </c>
      <c r="D123" s="242" t="s">
        <v>433</v>
      </c>
      <c r="E123" s="163" t="s">
        <v>1288</v>
      </c>
      <c r="F123" s="160" t="s">
        <v>254</v>
      </c>
      <c r="G123" s="161">
        <v>5</v>
      </c>
      <c r="H123" s="161"/>
      <c r="I123" s="91"/>
      <c r="J123" s="91"/>
      <c r="K123" s="91"/>
      <c r="L123" s="161">
        <v>1</v>
      </c>
      <c r="M123" s="91"/>
      <c r="N123" s="91"/>
      <c r="O123" s="91"/>
      <c r="P123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5</v>
      </c>
    </row>
    <row r="124" spans="1:16" s="238" customFormat="1" ht="15">
      <c r="A124" s="190" t="s">
        <v>994</v>
      </c>
      <c r="B124" s="160" t="s">
        <v>960</v>
      </c>
      <c r="C124" s="160" t="s">
        <v>995</v>
      </c>
      <c r="D124" s="242" t="s">
        <v>433</v>
      </c>
      <c r="E124" s="163" t="s">
        <v>294</v>
      </c>
      <c r="F124" s="160" t="s">
        <v>301</v>
      </c>
      <c r="G124" s="161">
        <v>10</v>
      </c>
      <c r="H124" s="161"/>
      <c r="I124" s="91"/>
      <c r="J124" s="91"/>
      <c r="K124" s="91"/>
      <c r="L124" s="162">
        <v>3</v>
      </c>
      <c r="M124" s="91"/>
      <c r="N124" s="91"/>
      <c r="O124" s="91"/>
      <c r="P124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30</v>
      </c>
    </row>
    <row r="125" spans="1:16" s="238" customFormat="1" ht="30">
      <c r="A125" s="190" t="s">
        <v>994</v>
      </c>
      <c r="B125" s="160" t="s">
        <v>960</v>
      </c>
      <c r="C125" s="160" t="s">
        <v>996</v>
      </c>
      <c r="D125" s="242" t="s">
        <v>433</v>
      </c>
      <c r="E125" s="163" t="s">
        <v>294</v>
      </c>
      <c r="F125" s="160" t="s">
        <v>297</v>
      </c>
      <c r="G125" s="161">
        <v>10</v>
      </c>
      <c r="H125" s="161"/>
      <c r="I125" s="91"/>
      <c r="J125" s="91"/>
      <c r="K125" s="91"/>
      <c r="L125" s="162">
        <v>2</v>
      </c>
      <c r="M125" s="91"/>
      <c r="N125" s="91"/>
      <c r="O125" s="91"/>
      <c r="P125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20</v>
      </c>
    </row>
    <row r="126" spans="1:16" s="238" customFormat="1" ht="15">
      <c r="A126" s="190" t="s">
        <v>994</v>
      </c>
      <c r="B126" s="160" t="s">
        <v>960</v>
      </c>
      <c r="C126" s="160" t="s">
        <v>996</v>
      </c>
      <c r="D126" s="242" t="s">
        <v>433</v>
      </c>
      <c r="E126" s="163" t="s">
        <v>303</v>
      </c>
      <c r="F126" s="160" t="s">
        <v>304</v>
      </c>
      <c r="G126" s="161">
        <v>10</v>
      </c>
      <c r="H126" s="161"/>
      <c r="I126" s="91"/>
      <c r="J126" s="91"/>
      <c r="K126" s="91"/>
      <c r="L126" s="162">
        <v>1</v>
      </c>
      <c r="M126" s="91"/>
      <c r="N126" s="91"/>
      <c r="O126" s="91"/>
      <c r="P126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10</v>
      </c>
    </row>
    <row r="127" spans="1:16" s="238" customFormat="1" ht="30">
      <c r="A127" s="190" t="s">
        <v>994</v>
      </c>
      <c r="B127" s="160" t="s">
        <v>960</v>
      </c>
      <c r="C127" s="160" t="s">
        <v>1262</v>
      </c>
      <c r="D127" s="242" t="s">
        <v>433</v>
      </c>
      <c r="E127" s="163" t="s">
        <v>1289</v>
      </c>
      <c r="F127" s="160" t="s">
        <v>58</v>
      </c>
      <c r="G127" s="161">
        <v>10</v>
      </c>
      <c r="H127" s="161"/>
      <c r="I127" s="91"/>
      <c r="J127" s="91"/>
      <c r="K127" s="91"/>
      <c r="L127" s="162"/>
      <c r="M127" s="91"/>
      <c r="N127" s="91"/>
      <c r="O127" s="91"/>
      <c r="P127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0</v>
      </c>
    </row>
    <row r="128" spans="1:16" s="238" customFormat="1" ht="30">
      <c r="A128" s="190" t="s">
        <v>994</v>
      </c>
      <c r="B128" s="160" t="s">
        <v>960</v>
      </c>
      <c r="C128" s="160" t="s">
        <v>1262</v>
      </c>
      <c r="D128" s="242" t="s">
        <v>433</v>
      </c>
      <c r="E128" s="163" t="s">
        <v>1289</v>
      </c>
      <c r="F128" s="160" t="s">
        <v>88</v>
      </c>
      <c r="G128" s="161">
        <v>10</v>
      </c>
      <c r="H128" s="161"/>
      <c r="I128" s="91"/>
      <c r="J128" s="91"/>
      <c r="K128" s="91"/>
      <c r="L128" s="162"/>
      <c r="M128" s="91"/>
      <c r="N128" s="91"/>
      <c r="O128" s="91"/>
      <c r="P128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0</v>
      </c>
    </row>
    <row r="129" spans="1:16" s="238" customFormat="1" ht="30">
      <c r="A129" s="190" t="s">
        <v>994</v>
      </c>
      <c r="B129" s="160" t="s">
        <v>960</v>
      </c>
      <c r="C129" s="160" t="s">
        <v>1262</v>
      </c>
      <c r="D129" s="242" t="s">
        <v>433</v>
      </c>
      <c r="E129" s="163" t="s">
        <v>1289</v>
      </c>
      <c r="F129" s="160" t="s">
        <v>114</v>
      </c>
      <c r="G129" s="161">
        <v>10</v>
      </c>
      <c r="H129" s="161"/>
      <c r="I129" s="91"/>
      <c r="J129" s="91"/>
      <c r="K129" s="91"/>
      <c r="L129" s="162">
        <v>2</v>
      </c>
      <c r="M129" s="91"/>
      <c r="N129" s="91"/>
      <c r="O129" s="91"/>
      <c r="P129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20</v>
      </c>
    </row>
    <row r="130" spans="1:16" s="238" customFormat="1" ht="15">
      <c r="A130" s="190" t="s">
        <v>994</v>
      </c>
      <c r="B130" s="160" t="s">
        <v>960</v>
      </c>
      <c r="C130" s="160" t="s">
        <v>1262</v>
      </c>
      <c r="D130" s="242" t="s">
        <v>433</v>
      </c>
      <c r="E130" s="163" t="s">
        <v>1289</v>
      </c>
      <c r="F130" s="160" t="s">
        <v>144</v>
      </c>
      <c r="G130" s="161">
        <v>10</v>
      </c>
      <c r="H130" s="161"/>
      <c r="I130" s="91"/>
      <c r="J130" s="91"/>
      <c r="K130" s="91"/>
      <c r="L130" s="162">
        <v>1</v>
      </c>
      <c r="M130" s="91"/>
      <c r="N130" s="91"/>
      <c r="O130" s="91"/>
      <c r="P130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10</v>
      </c>
    </row>
    <row r="131" spans="1:16" s="238" customFormat="1" ht="15">
      <c r="A131" s="190" t="s">
        <v>994</v>
      </c>
      <c r="B131" s="160" t="s">
        <v>960</v>
      </c>
      <c r="C131" s="160" t="s">
        <v>995</v>
      </c>
      <c r="D131" s="242" t="s">
        <v>433</v>
      </c>
      <c r="E131" s="163" t="s">
        <v>308</v>
      </c>
      <c r="F131" s="160" t="s">
        <v>314</v>
      </c>
      <c r="G131" s="161">
        <v>10</v>
      </c>
      <c r="H131" s="161"/>
      <c r="I131" s="91"/>
      <c r="J131" s="91"/>
      <c r="K131" s="91"/>
      <c r="L131" s="162">
        <v>2</v>
      </c>
      <c r="M131" s="91"/>
      <c r="N131" s="91"/>
      <c r="O131" s="91"/>
      <c r="P131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20</v>
      </c>
    </row>
    <row r="132" spans="1:16" s="238" customFormat="1" ht="15">
      <c r="A132" s="190" t="s">
        <v>994</v>
      </c>
      <c r="B132" s="160" t="s">
        <v>960</v>
      </c>
      <c r="C132" s="160" t="s">
        <v>995</v>
      </c>
      <c r="D132" s="242" t="s">
        <v>433</v>
      </c>
      <c r="E132" s="163" t="s">
        <v>308</v>
      </c>
      <c r="F132" s="160" t="s">
        <v>314</v>
      </c>
      <c r="G132" s="161">
        <v>10</v>
      </c>
      <c r="H132" s="161"/>
      <c r="I132" s="91"/>
      <c r="J132" s="91"/>
      <c r="K132" s="91"/>
      <c r="L132" s="162">
        <v>1</v>
      </c>
      <c r="M132" s="91"/>
      <c r="N132" s="91"/>
      <c r="O132" s="91"/>
      <c r="P132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10</v>
      </c>
    </row>
    <row r="133" spans="1:16" s="238" customFormat="1" ht="15">
      <c r="A133" s="190" t="s">
        <v>994</v>
      </c>
      <c r="B133" s="160" t="s">
        <v>960</v>
      </c>
      <c r="C133" s="160" t="s">
        <v>1263</v>
      </c>
      <c r="D133" s="242" t="s">
        <v>433</v>
      </c>
      <c r="E133" s="163" t="s">
        <v>316</v>
      </c>
      <c r="F133" s="160" t="s">
        <v>341</v>
      </c>
      <c r="G133" s="161">
        <v>1</v>
      </c>
      <c r="H133" s="161"/>
      <c r="I133" s="91"/>
      <c r="J133" s="91"/>
      <c r="K133" s="91"/>
      <c r="L133" s="161">
        <v>1</v>
      </c>
      <c r="M133" s="91"/>
      <c r="N133" s="91"/>
      <c r="O133" s="91"/>
      <c r="P133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</v>
      </c>
    </row>
    <row r="134" spans="1:16" s="238" customFormat="1" ht="15">
      <c r="A134" s="190" t="s">
        <v>994</v>
      </c>
      <c r="B134" s="160" t="s">
        <v>960</v>
      </c>
      <c r="C134" s="160" t="s">
        <v>1263</v>
      </c>
      <c r="D134" s="242" t="s">
        <v>433</v>
      </c>
      <c r="E134" s="163" t="s">
        <v>316</v>
      </c>
      <c r="F134" s="160" t="s">
        <v>341</v>
      </c>
      <c r="G134" s="161">
        <v>7</v>
      </c>
      <c r="H134" s="161"/>
      <c r="I134" s="91"/>
      <c r="J134" s="91"/>
      <c r="K134" s="91"/>
      <c r="L134" s="161">
        <v>1</v>
      </c>
      <c r="M134" s="91"/>
      <c r="N134" s="91"/>
      <c r="O134" s="91"/>
      <c r="P134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7</v>
      </c>
    </row>
    <row r="135" spans="1:16" s="238" customFormat="1" ht="15">
      <c r="A135" s="190" t="s">
        <v>994</v>
      </c>
      <c r="B135" s="160" t="s">
        <v>960</v>
      </c>
      <c r="C135" s="160" t="s">
        <v>1263</v>
      </c>
      <c r="D135" s="242" t="s">
        <v>433</v>
      </c>
      <c r="E135" s="163" t="s">
        <v>316</v>
      </c>
      <c r="F135" s="160" t="s">
        <v>341</v>
      </c>
      <c r="G135" s="161">
        <v>10</v>
      </c>
      <c r="H135" s="161"/>
      <c r="I135" s="91"/>
      <c r="J135" s="91"/>
      <c r="K135" s="91"/>
      <c r="L135" s="161">
        <v>23</v>
      </c>
      <c r="M135" s="91"/>
      <c r="N135" s="91"/>
      <c r="O135" s="91"/>
      <c r="P135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230</v>
      </c>
    </row>
    <row r="136" spans="1:16" s="238" customFormat="1" ht="15">
      <c r="A136" s="190" t="s">
        <v>994</v>
      </c>
      <c r="B136" s="160" t="s">
        <v>960</v>
      </c>
      <c r="C136" s="160" t="s">
        <v>1262</v>
      </c>
      <c r="D136" s="242" t="s">
        <v>433</v>
      </c>
      <c r="E136" s="163" t="s">
        <v>316</v>
      </c>
      <c r="F136" s="160" t="s">
        <v>319</v>
      </c>
      <c r="G136" s="161">
        <v>1</v>
      </c>
      <c r="H136" s="161"/>
      <c r="I136" s="91"/>
      <c r="J136" s="91"/>
      <c r="K136" s="91"/>
      <c r="L136" s="161">
        <v>1</v>
      </c>
      <c r="M136" s="91"/>
      <c r="N136" s="91"/>
      <c r="O136" s="91"/>
      <c r="P136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</v>
      </c>
    </row>
    <row r="137" spans="1:16" s="238" customFormat="1" ht="15">
      <c r="A137" s="190" t="s">
        <v>994</v>
      </c>
      <c r="B137" s="160" t="s">
        <v>960</v>
      </c>
      <c r="C137" s="160" t="s">
        <v>1262</v>
      </c>
      <c r="D137" s="242" t="s">
        <v>433</v>
      </c>
      <c r="E137" s="163" t="s">
        <v>316</v>
      </c>
      <c r="F137" s="160" t="s">
        <v>319</v>
      </c>
      <c r="G137" s="161">
        <v>6</v>
      </c>
      <c r="H137" s="161"/>
      <c r="I137" s="91"/>
      <c r="J137" s="91"/>
      <c r="K137" s="91"/>
      <c r="L137" s="161">
        <v>1</v>
      </c>
      <c r="M137" s="91"/>
      <c r="N137" s="91"/>
      <c r="O137" s="91"/>
      <c r="P137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6</v>
      </c>
    </row>
    <row r="138" spans="1:16" s="238" customFormat="1" ht="15">
      <c r="A138" s="190" t="s">
        <v>994</v>
      </c>
      <c r="B138" s="160" t="s">
        <v>960</v>
      </c>
      <c r="C138" s="160" t="s">
        <v>1262</v>
      </c>
      <c r="D138" s="242" t="s">
        <v>433</v>
      </c>
      <c r="E138" s="163" t="s">
        <v>316</v>
      </c>
      <c r="F138" s="160" t="s">
        <v>319</v>
      </c>
      <c r="G138" s="161">
        <v>10</v>
      </c>
      <c r="H138" s="161"/>
      <c r="I138" s="91"/>
      <c r="J138" s="91"/>
      <c r="K138" s="91"/>
      <c r="L138" s="161">
        <v>3</v>
      </c>
      <c r="M138" s="91"/>
      <c r="N138" s="91"/>
      <c r="O138" s="91"/>
      <c r="P138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30</v>
      </c>
    </row>
    <row r="139" spans="1:16" s="238" customFormat="1" ht="15">
      <c r="A139" s="190" t="s">
        <v>994</v>
      </c>
      <c r="B139" s="160" t="s">
        <v>960</v>
      </c>
      <c r="C139" s="160" t="s">
        <v>1262</v>
      </c>
      <c r="D139" s="242" t="s">
        <v>433</v>
      </c>
      <c r="E139" s="163" t="s">
        <v>316</v>
      </c>
      <c r="F139" s="160" t="s">
        <v>319</v>
      </c>
      <c r="G139" s="161">
        <v>14</v>
      </c>
      <c r="H139" s="161"/>
      <c r="I139" s="91"/>
      <c r="J139" s="91"/>
      <c r="K139" s="91"/>
      <c r="L139" s="161">
        <v>1</v>
      </c>
      <c r="M139" s="91"/>
      <c r="N139" s="91"/>
      <c r="O139" s="91"/>
      <c r="P139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14</v>
      </c>
    </row>
    <row r="140" spans="1:16" s="238" customFormat="1" ht="15">
      <c r="A140" s="190" t="s">
        <v>994</v>
      </c>
      <c r="B140" s="160" t="s">
        <v>960</v>
      </c>
      <c r="C140" s="160" t="s">
        <v>1262</v>
      </c>
      <c r="D140" s="242" t="s">
        <v>433</v>
      </c>
      <c r="E140" s="163" t="s">
        <v>316</v>
      </c>
      <c r="F140" s="160" t="s">
        <v>416</v>
      </c>
      <c r="G140" s="161">
        <v>4</v>
      </c>
      <c r="H140" s="161"/>
      <c r="I140" s="91"/>
      <c r="J140" s="91"/>
      <c r="K140" s="91"/>
      <c r="L140" s="161">
        <v>1</v>
      </c>
      <c r="M140" s="91"/>
      <c r="N140" s="91"/>
      <c r="O140" s="91"/>
      <c r="P140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4</v>
      </c>
    </row>
    <row r="141" spans="1:16" s="238" customFormat="1" ht="15">
      <c r="A141" s="190" t="s">
        <v>994</v>
      </c>
      <c r="B141" s="160" t="s">
        <v>960</v>
      </c>
      <c r="C141" s="160" t="s">
        <v>1262</v>
      </c>
      <c r="D141" s="242" t="s">
        <v>433</v>
      </c>
      <c r="E141" s="163" t="s">
        <v>316</v>
      </c>
      <c r="F141" s="160" t="s">
        <v>416</v>
      </c>
      <c r="G141" s="161">
        <v>8</v>
      </c>
      <c r="H141" s="161"/>
      <c r="I141" s="91"/>
      <c r="J141" s="91"/>
      <c r="K141" s="91"/>
      <c r="L141" s="161">
        <v>1</v>
      </c>
      <c r="M141" s="91"/>
      <c r="N141" s="91"/>
      <c r="O141" s="91"/>
      <c r="P141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8</v>
      </c>
    </row>
    <row r="142" spans="1:16" s="238" customFormat="1" ht="15">
      <c r="A142" s="190" t="s">
        <v>994</v>
      </c>
      <c r="B142" s="160" t="s">
        <v>960</v>
      </c>
      <c r="C142" s="160" t="s">
        <v>1262</v>
      </c>
      <c r="D142" s="242" t="s">
        <v>433</v>
      </c>
      <c r="E142" s="163" t="s">
        <v>316</v>
      </c>
      <c r="F142" s="160" t="s">
        <v>416</v>
      </c>
      <c r="G142" s="161">
        <v>10</v>
      </c>
      <c r="H142" s="161"/>
      <c r="I142" s="91"/>
      <c r="J142" s="91"/>
      <c r="K142" s="91"/>
      <c r="L142" s="161">
        <v>4</v>
      </c>
      <c r="M142" s="91"/>
      <c r="N142" s="91"/>
      <c r="O142" s="91"/>
      <c r="P142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40</v>
      </c>
    </row>
    <row r="143" spans="1:16" s="238" customFormat="1" ht="15">
      <c r="A143" s="190" t="s">
        <v>994</v>
      </c>
      <c r="B143" s="160" t="s">
        <v>960</v>
      </c>
      <c r="C143" s="160" t="s">
        <v>1262</v>
      </c>
      <c r="D143" s="242" t="s">
        <v>433</v>
      </c>
      <c r="E143" s="163" t="s">
        <v>316</v>
      </c>
      <c r="F143" s="160" t="s">
        <v>416</v>
      </c>
      <c r="G143" s="161">
        <v>18</v>
      </c>
      <c r="H143" s="161"/>
      <c r="I143" s="91"/>
      <c r="J143" s="91"/>
      <c r="K143" s="91"/>
      <c r="L143" s="161">
        <v>1</v>
      </c>
      <c r="M143" s="91"/>
      <c r="N143" s="91"/>
      <c r="O143" s="91"/>
      <c r="P143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18</v>
      </c>
    </row>
    <row r="144" spans="1:16" s="238" customFormat="1" ht="15">
      <c r="A144" s="190" t="s">
        <v>994</v>
      </c>
      <c r="B144" s="160" t="s">
        <v>960</v>
      </c>
      <c r="C144" s="160" t="s">
        <v>1262</v>
      </c>
      <c r="D144" s="242" t="s">
        <v>433</v>
      </c>
      <c r="E144" s="163" t="s">
        <v>316</v>
      </c>
      <c r="F144" s="160" t="s">
        <v>327</v>
      </c>
      <c r="G144" s="161">
        <v>4</v>
      </c>
      <c r="H144" s="161"/>
      <c r="I144" s="91"/>
      <c r="J144" s="91"/>
      <c r="K144" s="91"/>
      <c r="L144" s="161">
        <v>1</v>
      </c>
      <c r="M144" s="91"/>
      <c r="N144" s="91"/>
      <c r="O144" s="91"/>
      <c r="P144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4</v>
      </c>
    </row>
    <row r="145" spans="1:16" s="238" customFormat="1" ht="15">
      <c r="A145" s="190" t="s">
        <v>994</v>
      </c>
      <c r="B145" s="160" t="s">
        <v>960</v>
      </c>
      <c r="C145" s="160" t="s">
        <v>1262</v>
      </c>
      <c r="D145" s="242" t="s">
        <v>433</v>
      </c>
      <c r="E145" s="163" t="s">
        <v>316</v>
      </c>
      <c r="F145" s="160" t="s">
        <v>327</v>
      </c>
      <c r="G145" s="161">
        <v>5</v>
      </c>
      <c r="H145" s="161"/>
      <c r="I145" s="91"/>
      <c r="J145" s="91"/>
      <c r="K145" s="91"/>
      <c r="L145" s="161">
        <v>1</v>
      </c>
      <c r="M145" s="91"/>
      <c r="N145" s="91"/>
      <c r="O145" s="91"/>
      <c r="P145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5</v>
      </c>
    </row>
    <row r="146" spans="1:16" s="238" customFormat="1" ht="15">
      <c r="A146" s="190" t="s">
        <v>994</v>
      </c>
      <c r="B146" s="160" t="s">
        <v>960</v>
      </c>
      <c r="C146" s="160" t="s">
        <v>1262</v>
      </c>
      <c r="D146" s="242" t="s">
        <v>433</v>
      </c>
      <c r="E146" s="163" t="s">
        <v>316</v>
      </c>
      <c r="F146" s="160" t="s">
        <v>327</v>
      </c>
      <c r="G146" s="161">
        <v>6</v>
      </c>
      <c r="H146" s="161"/>
      <c r="I146" s="91"/>
      <c r="J146" s="91"/>
      <c r="K146" s="91"/>
      <c r="L146" s="161">
        <v>1</v>
      </c>
      <c r="M146" s="91"/>
      <c r="N146" s="91"/>
      <c r="O146" s="91"/>
      <c r="P146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6</v>
      </c>
    </row>
    <row r="147" spans="1:16" s="238" customFormat="1" ht="15">
      <c r="A147" s="190" t="s">
        <v>994</v>
      </c>
      <c r="B147" s="160" t="s">
        <v>960</v>
      </c>
      <c r="C147" s="160" t="s">
        <v>1262</v>
      </c>
      <c r="D147" s="242" t="s">
        <v>433</v>
      </c>
      <c r="E147" s="163" t="s">
        <v>316</v>
      </c>
      <c r="F147" s="160" t="s">
        <v>327</v>
      </c>
      <c r="G147" s="161">
        <v>10</v>
      </c>
      <c r="H147" s="161"/>
      <c r="I147" s="91"/>
      <c r="J147" s="91"/>
      <c r="K147" s="91"/>
      <c r="L147" s="161">
        <v>1</v>
      </c>
      <c r="M147" s="91"/>
      <c r="N147" s="91"/>
      <c r="O147" s="91"/>
      <c r="P147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10</v>
      </c>
    </row>
    <row r="148" spans="1:16" s="238" customFormat="1" ht="15">
      <c r="A148" s="190" t="s">
        <v>994</v>
      </c>
      <c r="B148" s="160" t="s">
        <v>960</v>
      </c>
      <c r="C148" s="160" t="s">
        <v>1262</v>
      </c>
      <c r="D148" s="242" t="s">
        <v>433</v>
      </c>
      <c r="E148" s="163" t="s">
        <v>316</v>
      </c>
      <c r="F148" s="160" t="s">
        <v>335</v>
      </c>
      <c r="G148" s="161">
        <v>1</v>
      </c>
      <c r="H148" s="161"/>
      <c r="I148" s="91"/>
      <c r="J148" s="91"/>
      <c r="K148" s="91"/>
      <c r="L148" s="161">
        <v>1</v>
      </c>
      <c r="M148" s="91"/>
      <c r="N148" s="91"/>
      <c r="O148" s="91"/>
      <c r="P148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</v>
      </c>
    </row>
    <row r="149" spans="1:16" s="238" customFormat="1" ht="15">
      <c r="A149" s="190" t="s">
        <v>994</v>
      </c>
      <c r="B149" s="160" t="s">
        <v>960</v>
      </c>
      <c r="C149" s="160" t="s">
        <v>1262</v>
      </c>
      <c r="D149" s="242" t="s">
        <v>433</v>
      </c>
      <c r="E149" s="163" t="s">
        <v>316</v>
      </c>
      <c r="F149" s="160" t="s">
        <v>335</v>
      </c>
      <c r="G149" s="161">
        <v>1</v>
      </c>
      <c r="H149" s="161"/>
      <c r="I149" s="91"/>
      <c r="J149" s="91"/>
      <c r="K149" s="91"/>
      <c r="L149" s="161">
        <v>1</v>
      </c>
      <c r="M149" s="91"/>
      <c r="N149" s="91"/>
      <c r="O149" s="91"/>
      <c r="P149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</v>
      </c>
    </row>
    <row r="150" spans="1:16" s="238" customFormat="1" ht="15">
      <c r="A150" s="190" t="s">
        <v>994</v>
      </c>
      <c r="B150" s="160" t="s">
        <v>960</v>
      </c>
      <c r="C150" s="160" t="s">
        <v>1262</v>
      </c>
      <c r="D150" s="242" t="s">
        <v>433</v>
      </c>
      <c r="E150" s="163" t="s">
        <v>316</v>
      </c>
      <c r="F150" s="160" t="s">
        <v>335</v>
      </c>
      <c r="G150" s="161">
        <v>8</v>
      </c>
      <c r="H150" s="161"/>
      <c r="I150" s="91"/>
      <c r="J150" s="91"/>
      <c r="K150" s="91"/>
      <c r="L150" s="161">
        <v>2</v>
      </c>
      <c r="M150" s="91"/>
      <c r="N150" s="91"/>
      <c r="O150" s="91"/>
      <c r="P150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16</v>
      </c>
    </row>
    <row r="151" spans="1:16" s="238" customFormat="1" ht="15">
      <c r="A151" s="190" t="s">
        <v>994</v>
      </c>
      <c r="B151" s="160" t="s">
        <v>960</v>
      </c>
      <c r="C151" s="160" t="s">
        <v>1262</v>
      </c>
      <c r="D151" s="242" t="s">
        <v>433</v>
      </c>
      <c r="E151" s="163" t="s">
        <v>316</v>
      </c>
      <c r="F151" s="160" t="s">
        <v>335</v>
      </c>
      <c r="G151" s="161">
        <v>10</v>
      </c>
      <c r="H151" s="161"/>
      <c r="I151" s="91"/>
      <c r="J151" s="91"/>
      <c r="K151" s="91"/>
      <c r="L151" s="161">
        <v>2</v>
      </c>
      <c r="M151" s="91"/>
      <c r="N151" s="91"/>
      <c r="O151" s="91"/>
      <c r="P151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20</v>
      </c>
    </row>
    <row r="152" spans="1:16" s="238" customFormat="1" ht="15">
      <c r="A152" s="190" t="s">
        <v>994</v>
      </c>
      <c r="B152" s="160" t="s">
        <v>960</v>
      </c>
      <c r="C152" s="160" t="s">
        <v>1262</v>
      </c>
      <c r="D152" s="242" t="s">
        <v>433</v>
      </c>
      <c r="E152" s="163" t="s">
        <v>316</v>
      </c>
      <c r="F152" s="160" t="s">
        <v>335</v>
      </c>
      <c r="G152" s="161">
        <v>20</v>
      </c>
      <c r="H152" s="161"/>
      <c r="I152" s="91"/>
      <c r="J152" s="91"/>
      <c r="K152" s="91"/>
      <c r="L152" s="161">
        <v>1</v>
      </c>
      <c r="M152" s="91"/>
      <c r="N152" s="91"/>
      <c r="O152" s="91"/>
      <c r="P152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20</v>
      </c>
    </row>
    <row r="153" spans="1:16" s="238" customFormat="1" ht="30">
      <c r="A153" s="190" t="s">
        <v>994</v>
      </c>
      <c r="B153" s="160" t="s">
        <v>960</v>
      </c>
      <c r="C153" s="160" t="s">
        <v>1263</v>
      </c>
      <c r="D153" s="242" t="s">
        <v>433</v>
      </c>
      <c r="E153" s="163" t="s">
        <v>316</v>
      </c>
      <c r="F153" s="160" t="s">
        <v>337</v>
      </c>
      <c r="G153" s="161">
        <v>8</v>
      </c>
      <c r="H153" s="161"/>
      <c r="I153" s="91"/>
      <c r="J153" s="91"/>
      <c r="K153" s="91"/>
      <c r="L153" s="161">
        <v>1</v>
      </c>
      <c r="M153" s="91"/>
      <c r="N153" s="91"/>
      <c r="O153" s="91"/>
      <c r="P153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8</v>
      </c>
    </row>
    <row r="154" spans="1:16" s="238" customFormat="1" ht="30">
      <c r="A154" s="190" t="s">
        <v>994</v>
      </c>
      <c r="B154" s="160" t="s">
        <v>960</v>
      </c>
      <c r="C154" s="160" t="s">
        <v>1263</v>
      </c>
      <c r="D154" s="242" t="s">
        <v>433</v>
      </c>
      <c r="E154" s="163" t="s">
        <v>316</v>
      </c>
      <c r="F154" s="160" t="s">
        <v>337</v>
      </c>
      <c r="G154" s="161">
        <v>10</v>
      </c>
      <c r="H154" s="161"/>
      <c r="I154" s="91"/>
      <c r="J154" s="91"/>
      <c r="K154" s="91"/>
      <c r="L154" s="161">
        <v>10</v>
      </c>
      <c r="M154" s="91"/>
      <c r="N154" s="91"/>
      <c r="O154" s="91"/>
      <c r="P154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100</v>
      </c>
    </row>
    <row r="155" spans="1:16" s="238" customFormat="1" ht="30">
      <c r="A155" s="190" t="s">
        <v>994</v>
      </c>
      <c r="B155" s="160" t="s">
        <v>960</v>
      </c>
      <c r="C155" s="160" t="s">
        <v>960</v>
      </c>
      <c r="D155" s="242" t="s">
        <v>433</v>
      </c>
      <c r="E155" s="163" t="s">
        <v>316</v>
      </c>
      <c r="F155" s="160" t="s">
        <v>337</v>
      </c>
      <c r="G155" s="161">
        <v>10</v>
      </c>
      <c r="H155" s="161"/>
      <c r="I155" s="91"/>
      <c r="J155" s="91"/>
      <c r="K155" s="91"/>
      <c r="L155" s="161">
        <v>12</v>
      </c>
      <c r="M155" s="91"/>
      <c r="N155" s="91"/>
      <c r="O155" s="91"/>
      <c r="P155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120</v>
      </c>
    </row>
    <row r="156" spans="1:16" s="238" customFormat="1" ht="30">
      <c r="A156" s="190" t="s">
        <v>994</v>
      </c>
      <c r="B156" s="160" t="s">
        <v>960</v>
      </c>
      <c r="C156" s="160" t="s">
        <v>1263</v>
      </c>
      <c r="D156" s="242" t="s">
        <v>433</v>
      </c>
      <c r="E156" s="163" t="s">
        <v>316</v>
      </c>
      <c r="F156" s="160" t="s">
        <v>337</v>
      </c>
      <c r="G156" s="161">
        <v>10</v>
      </c>
      <c r="H156" s="161"/>
      <c r="I156" s="91"/>
      <c r="J156" s="91"/>
      <c r="K156" s="91"/>
      <c r="L156" s="161">
        <v>5</v>
      </c>
      <c r="M156" s="91"/>
      <c r="N156" s="91"/>
      <c r="O156" s="91"/>
      <c r="P156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50</v>
      </c>
    </row>
    <row r="157" spans="1:16" s="238" customFormat="1" ht="15">
      <c r="A157" s="190" t="s">
        <v>994</v>
      </c>
      <c r="B157" s="160" t="s">
        <v>960</v>
      </c>
      <c r="C157" s="160" t="s">
        <v>996</v>
      </c>
      <c r="D157" s="242" t="s">
        <v>433</v>
      </c>
      <c r="E157" s="163" t="s">
        <v>316</v>
      </c>
      <c r="F157" s="160" t="s">
        <v>331</v>
      </c>
      <c r="G157" s="161">
        <v>1</v>
      </c>
      <c r="H157" s="161"/>
      <c r="I157" s="91"/>
      <c r="J157" s="91"/>
      <c r="K157" s="91"/>
      <c r="L157" s="161">
        <v>1</v>
      </c>
      <c r="M157" s="91"/>
      <c r="N157" s="91"/>
      <c r="O157" s="91"/>
      <c r="P157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</v>
      </c>
    </row>
    <row r="158" spans="1:16" s="238" customFormat="1" ht="15">
      <c r="A158" s="190" t="s">
        <v>994</v>
      </c>
      <c r="B158" s="160" t="s">
        <v>960</v>
      </c>
      <c r="C158" s="160" t="s">
        <v>996</v>
      </c>
      <c r="D158" s="242" t="s">
        <v>433</v>
      </c>
      <c r="E158" s="163" t="s">
        <v>316</v>
      </c>
      <c r="F158" s="160" t="s">
        <v>333</v>
      </c>
      <c r="G158" s="161">
        <v>1</v>
      </c>
      <c r="H158" s="161"/>
      <c r="I158" s="91"/>
      <c r="J158" s="91"/>
      <c r="K158" s="91"/>
      <c r="L158" s="161">
        <v>1</v>
      </c>
      <c r="M158" s="91"/>
      <c r="N158" s="91"/>
      <c r="O158" s="91"/>
      <c r="P158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</v>
      </c>
    </row>
    <row r="159" spans="1:16" s="238" customFormat="1" ht="15">
      <c r="A159" s="190" t="s">
        <v>994</v>
      </c>
      <c r="B159" s="160" t="s">
        <v>960</v>
      </c>
      <c r="C159" s="160" t="s">
        <v>996</v>
      </c>
      <c r="D159" s="242" t="s">
        <v>433</v>
      </c>
      <c r="E159" s="163" t="s">
        <v>316</v>
      </c>
      <c r="F159" s="160" t="s">
        <v>333</v>
      </c>
      <c r="G159" s="161">
        <v>5</v>
      </c>
      <c r="H159" s="161"/>
      <c r="I159" s="91"/>
      <c r="J159" s="91"/>
      <c r="K159" s="91"/>
      <c r="L159" s="161">
        <v>2</v>
      </c>
      <c r="M159" s="91"/>
      <c r="N159" s="91"/>
      <c r="O159" s="91"/>
      <c r="P159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10</v>
      </c>
    </row>
    <row r="160" spans="1:16" s="238" customFormat="1" ht="15">
      <c r="A160" s="190" t="s">
        <v>994</v>
      </c>
      <c r="B160" s="160" t="s">
        <v>960</v>
      </c>
      <c r="C160" s="160" t="s">
        <v>960</v>
      </c>
      <c r="D160" s="242" t="s">
        <v>433</v>
      </c>
      <c r="E160" s="163" t="s">
        <v>316</v>
      </c>
      <c r="F160" s="160" t="s">
        <v>333</v>
      </c>
      <c r="G160" s="161">
        <v>5</v>
      </c>
      <c r="H160" s="161"/>
      <c r="I160" s="91"/>
      <c r="J160" s="91"/>
      <c r="K160" s="91"/>
      <c r="L160" s="161">
        <v>1</v>
      </c>
      <c r="M160" s="91"/>
      <c r="N160" s="91"/>
      <c r="O160" s="91"/>
      <c r="P160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5</v>
      </c>
    </row>
    <row r="161" spans="1:16" s="238" customFormat="1" ht="15">
      <c r="A161" s="190" t="s">
        <v>994</v>
      </c>
      <c r="B161" s="160" t="s">
        <v>960</v>
      </c>
      <c r="C161" s="160" t="s">
        <v>996</v>
      </c>
      <c r="D161" s="242" t="s">
        <v>433</v>
      </c>
      <c r="E161" s="163" t="s">
        <v>316</v>
      </c>
      <c r="F161" s="160" t="s">
        <v>333</v>
      </c>
      <c r="G161" s="161">
        <v>10</v>
      </c>
      <c r="H161" s="161"/>
      <c r="I161" s="91"/>
      <c r="J161" s="91"/>
      <c r="K161" s="91"/>
      <c r="L161" s="161">
        <v>2</v>
      </c>
      <c r="M161" s="91"/>
      <c r="N161" s="91"/>
      <c r="O161" s="91"/>
      <c r="P161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20</v>
      </c>
    </row>
    <row r="162" spans="1:16" s="238" customFormat="1" ht="15">
      <c r="A162" s="190" t="s">
        <v>994</v>
      </c>
      <c r="B162" s="160" t="s">
        <v>960</v>
      </c>
      <c r="C162" s="160" t="s">
        <v>996</v>
      </c>
      <c r="D162" s="242" t="s">
        <v>433</v>
      </c>
      <c r="E162" s="163" t="s">
        <v>316</v>
      </c>
      <c r="F162" s="160" t="s">
        <v>353</v>
      </c>
      <c r="G162" s="161">
        <v>10</v>
      </c>
      <c r="H162" s="161"/>
      <c r="I162" s="91"/>
      <c r="J162" s="91"/>
      <c r="K162" s="91"/>
      <c r="L162" s="162">
        <v>4</v>
      </c>
      <c r="M162" s="91"/>
      <c r="N162" s="91"/>
      <c r="O162" s="91"/>
      <c r="P162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40</v>
      </c>
    </row>
    <row r="163" spans="1:16" s="238" customFormat="1" ht="15">
      <c r="A163" s="190" t="s">
        <v>994</v>
      </c>
      <c r="B163" s="160" t="s">
        <v>960</v>
      </c>
      <c r="C163" s="160" t="s">
        <v>1263</v>
      </c>
      <c r="D163" s="242" t="s">
        <v>433</v>
      </c>
      <c r="E163" s="163" t="s">
        <v>316</v>
      </c>
      <c r="F163" s="160" t="s">
        <v>363</v>
      </c>
      <c r="G163" s="161">
        <v>1</v>
      </c>
      <c r="H163" s="161"/>
      <c r="I163" s="91"/>
      <c r="J163" s="91"/>
      <c r="K163" s="91"/>
      <c r="L163" s="161">
        <v>2</v>
      </c>
      <c r="M163" s="91"/>
      <c r="N163" s="91"/>
      <c r="O163" s="91"/>
      <c r="P163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2</v>
      </c>
    </row>
    <row r="164" spans="1:16" s="238" customFormat="1" ht="15">
      <c r="A164" s="190" t="s">
        <v>994</v>
      </c>
      <c r="B164" s="160" t="s">
        <v>960</v>
      </c>
      <c r="C164" s="160" t="s">
        <v>1262</v>
      </c>
      <c r="D164" s="242" t="s">
        <v>433</v>
      </c>
      <c r="E164" s="163" t="s">
        <v>316</v>
      </c>
      <c r="F164" s="160" t="s">
        <v>325</v>
      </c>
      <c r="G164" s="161">
        <v>1</v>
      </c>
      <c r="H164" s="161"/>
      <c r="I164" s="91"/>
      <c r="J164" s="91"/>
      <c r="K164" s="91"/>
      <c r="L164" s="161">
        <v>1</v>
      </c>
      <c r="M164" s="91"/>
      <c r="N164" s="91"/>
      <c r="O164" s="91"/>
      <c r="P164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</v>
      </c>
    </row>
    <row r="165" spans="1:16" s="238" customFormat="1" ht="15">
      <c r="A165" s="190" t="s">
        <v>994</v>
      </c>
      <c r="B165" s="160" t="s">
        <v>960</v>
      </c>
      <c r="C165" s="160" t="s">
        <v>1262</v>
      </c>
      <c r="D165" s="242" t="s">
        <v>433</v>
      </c>
      <c r="E165" s="163" t="s">
        <v>316</v>
      </c>
      <c r="F165" s="160" t="s">
        <v>325</v>
      </c>
      <c r="G165" s="161">
        <v>1</v>
      </c>
      <c r="H165" s="161"/>
      <c r="I165" s="91"/>
      <c r="J165" s="91"/>
      <c r="K165" s="91"/>
      <c r="L165" s="161">
        <v>1</v>
      </c>
      <c r="M165" s="91"/>
      <c r="N165" s="91"/>
      <c r="O165" s="91"/>
      <c r="P165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</v>
      </c>
    </row>
    <row r="166" spans="1:16" s="238" customFormat="1" ht="15">
      <c r="A166" s="190" t="s">
        <v>994</v>
      </c>
      <c r="B166" s="160" t="s">
        <v>960</v>
      </c>
      <c r="C166" s="160" t="s">
        <v>1262</v>
      </c>
      <c r="D166" s="242" t="s">
        <v>433</v>
      </c>
      <c r="E166" s="163" t="s">
        <v>316</v>
      </c>
      <c r="F166" s="160" t="s">
        <v>325</v>
      </c>
      <c r="G166" s="161">
        <v>9</v>
      </c>
      <c r="H166" s="161"/>
      <c r="I166" s="91"/>
      <c r="J166" s="91"/>
      <c r="K166" s="91"/>
      <c r="L166" s="161">
        <v>1</v>
      </c>
      <c r="M166" s="91"/>
      <c r="N166" s="91"/>
      <c r="O166" s="91"/>
      <c r="P166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9</v>
      </c>
    </row>
    <row r="167" spans="1:16" s="238" customFormat="1" ht="15">
      <c r="A167" s="190" t="s">
        <v>994</v>
      </c>
      <c r="B167" s="160" t="s">
        <v>960</v>
      </c>
      <c r="C167" s="160" t="s">
        <v>1262</v>
      </c>
      <c r="D167" s="242" t="s">
        <v>433</v>
      </c>
      <c r="E167" s="163" t="s">
        <v>316</v>
      </c>
      <c r="F167" s="160" t="s">
        <v>325</v>
      </c>
      <c r="G167" s="161">
        <v>10</v>
      </c>
      <c r="H167" s="161"/>
      <c r="I167" s="91"/>
      <c r="J167" s="91"/>
      <c r="K167" s="91"/>
      <c r="L167" s="161">
        <v>2</v>
      </c>
      <c r="M167" s="91"/>
      <c r="N167" s="91"/>
      <c r="O167" s="91"/>
      <c r="P167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20</v>
      </c>
    </row>
    <row r="168" spans="1:16" s="238" customFormat="1" ht="15">
      <c r="A168" s="190" t="s">
        <v>994</v>
      </c>
      <c r="B168" s="160" t="s">
        <v>960</v>
      </c>
      <c r="C168" s="160" t="s">
        <v>1262</v>
      </c>
      <c r="D168" s="242" t="s">
        <v>433</v>
      </c>
      <c r="E168" s="163" t="s">
        <v>316</v>
      </c>
      <c r="F168" s="160" t="s">
        <v>325</v>
      </c>
      <c r="G168" s="161">
        <v>16</v>
      </c>
      <c r="H168" s="161"/>
      <c r="I168" s="91"/>
      <c r="J168" s="91"/>
      <c r="K168" s="91"/>
      <c r="L168" s="161">
        <v>1</v>
      </c>
      <c r="M168" s="91"/>
      <c r="N168" s="91"/>
      <c r="O168" s="91"/>
      <c r="P168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16</v>
      </c>
    </row>
    <row r="169" spans="1:16" s="238" customFormat="1" ht="15">
      <c r="A169" s="190" t="s">
        <v>994</v>
      </c>
      <c r="B169" s="160" t="s">
        <v>960</v>
      </c>
      <c r="C169" s="160" t="s">
        <v>996</v>
      </c>
      <c r="D169" s="242" t="s">
        <v>433</v>
      </c>
      <c r="E169" s="163" t="s">
        <v>316</v>
      </c>
      <c r="F169" s="160" t="s">
        <v>349</v>
      </c>
      <c r="G169" s="161">
        <v>1</v>
      </c>
      <c r="H169" s="161"/>
      <c r="I169" s="91"/>
      <c r="J169" s="91"/>
      <c r="K169" s="91"/>
      <c r="L169" s="161">
        <v>1</v>
      </c>
      <c r="M169" s="91"/>
      <c r="N169" s="91"/>
      <c r="O169" s="91"/>
      <c r="P169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</v>
      </c>
    </row>
    <row r="170" spans="1:16" s="238" customFormat="1" ht="15">
      <c r="A170" s="190" t="s">
        <v>994</v>
      </c>
      <c r="B170" s="160" t="s">
        <v>960</v>
      </c>
      <c r="C170" s="160" t="s">
        <v>996</v>
      </c>
      <c r="D170" s="242" t="s">
        <v>433</v>
      </c>
      <c r="E170" s="163" t="s">
        <v>316</v>
      </c>
      <c r="F170" s="160" t="s">
        <v>349</v>
      </c>
      <c r="G170" s="161">
        <v>5</v>
      </c>
      <c r="H170" s="161"/>
      <c r="I170" s="91"/>
      <c r="J170" s="91"/>
      <c r="K170" s="91"/>
      <c r="L170" s="161">
        <v>2</v>
      </c>
      <c r="M170" s="91"/>
      <c r="N170" s="91"/>
      <c r="O170" s="91"/>
      <c r="P170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10</v>
      </c>
    </row>
    <row r="171" spans="1:16" s="238" customFormat="1" ht="15">
      <c r="A171" s="190" t="s">
        <v>994</v>
      </c>
      <c r="B171" s="160" t="s">
        <v>960</v>
      </c>
      <c r="C171" s="160" t="s">
        <v>960</v>
      </c>
      <c r="D171" s="242" t="s">
        <v>433</v>
      </c>
      <c r="E171" s="163" t="s">
        <v>316</v>
      </c>
      <c r="F171" s="160" t="s">
        <v>349</v>
      </c>
      <c r="G171" s="161">
        <v>10</v>
      </c>
      <c r="H171" s="161"/>
      <c r="I171" s="91"/>
      <c r="J171" s="91"/>
      <c r="K171" s="91"/>
      <c r="L171" s="161">
        <v>1</v>
      </c>
      <c r="M171" s="91"/>
      <c r="N171" s="91"/>
      <c r="O171" s="91"/>
      <c r="P171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10</v>
      </c>
    </row>
    <row r="172" spans="1:16" s="238" customFormat="1" ht="15">
      <c r="A172" s="190" t="s">
        <v>994</v>
      </c>
      <c r="B172" s="160" t="s">
        <v>960</v>
      </c>
      <c r="C172" s="160" t="s">
        <v>1262</v>
      </c>
      <c r="D172" s="242" t="s">
        <v>433</v>
      </c>
      <c r="E172" s="163" t="s">
        <v>316</v>
      </c>
      <c r="F172" s="160" t="s">
        <v>345</v>
      </c>
      <c r="G172" s="161">
        <v>1</v>
      </c>
      <c r="H172" s="161"/>
      <c r="I172" s="91"/>
      <c r="J172" s="91"/>
      <c r="K172" s="91"/>
      <c r="L172" s="161">
        <v>1</v>
      </c>
      <c r="M172" s="91"/>
      <c r="N172" s="91"/>
      <c r="O172" s="91"/>
      <c r="P172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</v>
      </c>
    </row>
    <row r="173" spans="1:16" s="238" customFormat="1" ht="15">
      <c r="A173" s="190" t="s">
        <v>994</v>
      </c>
      <c r="B173" s="160" t="s">
        <v>960</v>
      </c>
      <c r="C173" s="160" t="s">
        <v>1262</v>
      </c>
      <c r="D173" s="242" t="s">
        <v>433</v>
      </c>
      <c r="E173" s="163" t="s">
        <v>316</v>
      </c>
      <c r="F173" s="160" t="s">
        <v>345</v>
      </c>
      <c r="G173" s="161">
        <v>1</v>
      </c>
      <c r="H173" s="161"/>
      <c r="I173" s="91"/>
      <c r="J173" s="91"/>
      <c r="K173" s="91"/>
      <c r="L173" s="161">
        <v>1</v>
      </c>
      <c r="M173" s="91"/>
      <c r="N173" s="91"/>
      <c r="O173" s="91"/>
      <c r="P173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</v>
      </c>
    </row>
    <row r="174" spans="1:16" s="238" customFormat="1" ht="15">
      <c r="A174" s="190" t="s">
        <v>994</v>
      </c>
      <c r="B174" s="160" t="s">
        <v>960</v>
      </c>
      <c r="C174" s="160" t="s">
        <v>1262</v>
      </c>
      <c r="D174" s="242" t="s">
        <v>433</v>
      </c>
      <c r="E174" s="163" t="s">
        <v>316</v>
      </c>
      <c r="F174" s="160" t="s">
        <v>345</v>
      </c>
      <c r="G174" s="161">
        <v>6</v>
      </c>
      <c r="H174" s="161"/>
      <c r="I174" s="91"/>
      <c r="J174" s="91"/>
      <c r="K174" s="91"/>
      <c r="L174" s="161">
        <v>2</v>
      </c>
      <c r="M174" s="91"/>
      <c r="N174" s="91"/>
      <c r="O174" s="91"/>
      <c r="P174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12</v>
      </c>
    </row>
    <row r="175" spans="1:16" s="238" customFormat="1" ht="30">
      <c r="A175" s="190" t="s">
        <v>994</v>
      </c>
      <c r="B175" s="160" t="s">
        <v>960</v>
      </c>
      <c r="C175" s="160" t="s">
        <v>1262</v>
      </c>
      <c r="D175" s="242" t="s">
        <v>433</v>
      </c>
      <c r="E175" s="163" t="s">
        <v>316</v>
      </c>
      <c r="F175" s="160" t="s">
        <v>359</v>
      </c>
      <c r="G175" s="161">
        <v>1</v>
      </c>
      <c r="H175" s="161"/>
      <c r="I175" s="91"/>
      <c r="J175" s="91"/>
      <c r="K175" s="91"/>
      <c r="L175" s="161">
        <v>1</v>
      </c>
      <c r="M175" s="91"/>
      <c r="N175" s="91"/>
      <c r="O175" s="91"/>
      <c r="P175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</v>
      </c>
    </row>
    <row r="176" spans="1:16" s="238" customFormat="1" ht="30">
      <c r="A176" s="190" t="s">
        <v>994</v>
      </c>
      <c r="B176" s="160" t="s">
        <v>960</v>
      </c>
      <c r="C176" s="160" t="s">
        <v>1262</v>
      </c>
      <c r="D176" s="242" t="s">
        <v>433</v>
      </c>
      <c r="E176" s="163" t="s">
        <v>316</v>
      </c>
      <c r="F176" s="160" t="s">
        <v>359</v>
      </c>
      <c r="G176" s="161">
        <v>3</v>
      </c>
      <c r="H176" s="161"/>
      <c r="I176" s="91"/>
      <c r="J176" s="91"/>
      <c r="K176" s="91"/>
      <c r="L176" s="161">
        <v>3</v>
      </c>
      <c r="M176" s="91"/>
      <c r="N176" s="91"/>
      <c r="O176" s="91"/>
      <c r="P176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9</v>
      </c>
    </row>
    <row r="177" spans="1:16" s="238" customFormat="1" ht="30">
      <c r="A177" s="190" t="s">
        <v>994</v>
      </c>
      <c r="B177" s="160" t="s">
        <v>960</v>
      </c>
      <c r="C177" s="160" t="s">
        <v>1262</v>
      </c>
      <c r="D177" s="242" t="s">
        <v>433</v>
      </c>
      <c r="E177" s="163" t="s">
        <v>316</v>
      </c>
      <c r="F177" s="160" t="s">
        <v>359</v>
      </c>
      <c r="G177" s="161">
        <v>7</v>
      </c>
      <c r="H177" s="161"/>
      <c r="I177" s="91"/>
      <c r="J177" s="91"/>
      <c r="K177" s="91"/>
      <c r="L177" s="161">
        <v>1</v>
      </c>
      <c r="M177" s="91"/>
      <c r="N177" s="91"/>
      <c r="O177" s="91"/>
      <c r="P177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7</v>
      </c>
    </row>
    <row r="178" spans="1:16" s="238" customFormat="1" ht="30">
      <c r="A178" s="190" t="s">
        <v>994</v>
      </c>
      <c r="B178" s="160" t="s">
        <v>960</v>
      </c>
      <c r="C178" s="160" t="s">
        <v>1262</v>
      </c>
      <c r="D178" s="242" t="s">
        <v>433</v>
      </c>
      <c r="E178" s="163" t="s">
        <v>316</v>
      </c>
      <c r="F178" s="160" t="s">
        <v>359</v>
      </c>
      <c r="G178" s="161">
        <v>9</v>
      </c>
      <c r="H178" s="161"/>
      <c r="I178" s="91"/>
      <c r="J178" s="91"/>
      <c r="K178" s="91"/>
      <c r="L178" s="161">
        <v>1</v>
      </c>
      <c r="M178" s="91"/>
      <c r="N178" s="91"/>
      <c r="O178" s="91"/>
      <c r="P178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9</v>
      </c>
    </row>
    <row r="179" spans="1:16" s="238" customFormat="1" ht="30">
      <c r="A179" s="190" t="s">
        <v>994</v>
      </c>
      <c r="B179" s="160" t="s">
        <v>960</v>
      </c>
      <c r="C179" s="160" t="s">
        <v>1262</v>
      </c>
      <c r="D179" s="242" t="s">
        <v>433</v>
      </c>
      <c r="E179" s="163" t="s">
        <v>316</v>
      </c>
      <c r="F179" s="160" t="s">
        <v>359</v>
      </c>
      <c r="G179" s="161">
        <v>10</v>
      </c>
      <c r="H179" s="161"/>
      <c r="I179" s="91"/>
      <c r="J179" s="91"/>
      <c r="K179" s="91"/>
      <c r="L179" s="161">
        <v>3</v>
      </c>
      <c r="M179" s="91"/>
      <c r="N179" s="91"/>
      <c r="O179" s="91"/>
      <c r="P179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30</v>
      </c>
    </row>
    <row r="180" spans="1:16" s="238" customFormat="1" ht="30">
      <c r="A180" s="190" t="s">
        <v>994</v>
      </c>
      <c r="B180" s="160" t="s">
        <v>960</v>
      </c>
      <c r="C180" s="160" t="s">
        <v>1262</v>
      </c>
      <c r="D180" s="242" t="s">
        <v>433</v>
      </c>
      <c r="E180" s="163" t="s">
        <v>316</v>
      </c>
      <c r="F180" s="160" t="s">
        <v>359</v>
      </c>
      <c r="G180" s="161">
        <v>10</v>
      </c>
      <c r="H180" s="161"/>
      <c r="I180" s="91"/>
      <c r="J180" s="91"/>
      <c r="K180" s="91"/>
      <c r="L180" s="161">
        <v>2</v>
      </c>
      <c r="M180" s="91"/>
      <c r="N180" s="91"/>
      <c r="O180" s="91"/>
      <c r="P180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20</v>
      </c>
    </row>
    <row r="181" spans="1:16" s="238" customFormat="1" ht="30">
      <c r="A181" s="190" t="s">
        <v>994</v>
      </c>
      <c r="B181" s="160" t="s">
        <v>960</v>
      </c>
      <c r="C181" s="160" t="s">
        <v>1262</v>
      </c>
      <c r="D181" s="242" t="s">
        <v>433</v>
      </c>
      <c r="E181" s="163" t="s">
        <v>316</v>
      </c>
      <c r="F181" s="160" t="s">
        <v>359</v>
      </c>
      <c r="G181" s="161">
        <v>10</v>
      </c>
      <c r="H181" s="161"/>
      <c r="I181" s="91"/>
      <c r="J181" s="91"/>
      <c r="K181" s="91"/>
      <c r="L181" s="161">
        <v>2</v>
      </c>
      <c r="M181" s="91"/>
      <c r="N181" s="91"/>
      <c r="O181" s="91"/>
      <c r="P181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20</v>
      </c>
    </row>
    <row r="182" spans="1:16" s="238" customFormat="1" ht="15">
      <c r="A182" s="190" t="s">
        <v>994</v>
      </c>
      <c r="B182" s="160" t="s">
        <v>960</v>
      </c>
      <c r="C182" s="160" t="s">
        <v>996</v>
      </c>
      <c r="D182" s="242" t="s">
        <v>433</v>
      </c>
      <c r="E182" s="163" t="s">
        <v>316</v>
      </c>
      <c r="F182" s="160" t="s">
        <v>355</v>
      </c>
      <c r="G182" s="161">
        <v>10</v>
      </c>
      <c r="H182" s="161"/>
      <c r="I182" s="91"/>
      <c r="J182" s="91"/>
      <c r="K182" s="91"/>
      <c r="L182" s="162">
        <v>17</v>
      </c>
      <c r="M182" s="91"/>
      <c r="N182" s="91"/>
      <c r="O182" s="91"/>
      <c r="P182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170</v>
      </c>
    </row>
    <row r="183" spans="1:16" s="238" customFormat="1" ht="15">
      <c r="A183" s="190" t="s">
        <v>994</v>
      </c>
      <c r="B183" s="160" t="s">
        <v>960</v>
      </c>
      <c r="C183" s="160" t="s">
        <v>1262</v>
      </c>
      <c r="D183" s="242" t="s">
        <v>433</v>
      </c>
      <c r="E183" s="163" t="s">
        <v>316</v>
      </c>
      <c r="F183" s="160" t="s">
        <v>357</v>
      </c>
      <c r="G183" s="161">
        <v>1</v>
      </c>
      <c r="H183" s="161"/>
      <c r="I183" s="91"/>
      <c r="J183" s="91"/>
      <c r="K183" s="91"/>
      <c r="L183" s="161">
        <v>1</v>
      </c>
      <c r="M183" s="91"/>
      <c r="N183" s="91"/>
      <c r="O183" s="91"/>
      <c r="P183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</v>
      </c>
    </row>
    <row r="184" spans="1:16" s="238" customFormat="1" ht="15">
      <c r="A184" s="190" t="s">
        <v>994</v>
      </c>
      <c r="B184" s="160" t="s">
        <v>960</v>
      </c>
      <c r="C184" s="160" t="s">
        <v>1262</v>
      </c>
      <c r="D184" s="242" t="s">
        <v>433</v>
      </c>
      <c r="E184" s="163" t="s">
        <v>316</v>
      </c>
      <c r="F184" s="160" t="s">
        <v>357</v>
      </c>
      <c r="G184" s="161">
        <v>1</v>
      </c>
      <c r="H184" s="161"/>
      <c r="I184" s="91"/>
      <c r="J184" s="91"/>
      <c r="K184" s="91"/>
      <c r="L184" s="161">
        <v>1</v>
      </c>
      <c r="M184" s="91"/>
      <c r="N184" s="91"/>
      <c r="O184" s="91"/>
      <c r="P184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</v>
      </c>
    </row>
    <row r="185" spans="1:16" s="238" customFormat="1" ht="15">
      <c r="A185" s="190" t="s">
        <v>994</v>
      </c>
      <c r="B185" s="160" t="s">
        <v>960</v>
      </c>
      <c r="C185" s="160" t="s">
        <v>1262</v>
      </c>
      <c r="D185" s="242" t="s">
        <v>433</v>
      </c>
      <c r="E185" s="163" t="s">
        <v>316</v>
      </c>
      <c r="F185" s="160" t="s">
        <v>357</v>
      </c>
      <c r="G185" s="161">
        <v>6</v>
      </c>
      <c r="H185" s="161"/>
      <c r="I185" s="91"/>
      <c r="J185" s="91"/>
      <c r="K185" s="91"/>
      <c r="L185" s="161">
        <v>1</v>
      </c>
      <c r="M185" s="91"/>
      <c r="N185" s="91"/>
      <c r="O185" s="91"/>
      <c r="P185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6</v>
      </c>
    </row>
    <row r="186" spans="1:16" s="238" customFormat="1" ht="15">
      <c r="A186" s="190" t="s">
        <v>994</v>
      </c>
      <c r="B186" s="160" t="s">
        <v>960</v>
      </c>
      <c r="C186" s="160" t="s">
        <v>1262</v>
      </c>
      <c r="D186" s="242" t="s">
        <v>433</v>
      </c>
      <c r="E186" s="163" t="s">
        <v>316</v>
      </c>
      <c r="F186" s="160" t="s">
        <v>357</v>
      </c>
      <c r="G186" s="161">
        <v>10</v>
      </c>
      <c r="H186" s="161"/>
      <c r="I186" s="91"/>
      <c r="J186" s="91"/>
      <c r="K186" s="91"/>
      <c r="L186" s="161">
        <v>1</v>
      </c>
      <c r="M186" s="91"/>
      <c r="N186" s="91"/>
      <c r="O186" s="91"/>
      <c r="P186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10</v>
      </c>
    </row>
    <row r="187" spans="1:16" s="238" customFormat="1" ht="15">
      <c r="A187" s="190" t="s">
        <v>994</v>
      </c>
      <c r="B187" s="160" t="s">
        <v>960</v>
      </c>
      <c r="C187" s="160" t="s">
        <v>1262</v>
      </c>
      <c r="D187" s="242" t="s">
        <v>433</v>
      </c>
      <c r="E187" s="163" t="s">
        <v>316</v>
      </c>
      <c r="F187" s="160" t="s">
        <v>357</v>
      </c>
      <c r="G187" s="161">
        <v>11</v>
      </c>
      <c r="H187" s="161"/>
      <c r="I187" s="91"/>
      <c r="J187" s="91"/>
      <c r="K187" s="91"/>
      <c r="L187" s="161">
        <v>1</v>
      </c>
      <c r="M187" s="91"/>
      <c r="N187" s="91"/>
      <c r="O187" s="91"/>
      <c r="P187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11</v>
      </c>
    </row>
    <row r="188" spans="1:16" s="238" customFormat="1" ht="15">
      <c r="A188" s="190" t="s">
        <v>994</v>
      </c>
      <c r="B188" s="160" t="s">
        <v>960</v>
      </c>
      <c r="C188" s="160" t="s">
        <v>1262</v>
      </c>
      <c r="D188" s="242" t="s">
        <v>433</v>
      </c>
      <c r="E188" s="163" t="s">
        <v>316</v>
      </c>
      <c r="F188" s="160" t="s">
        <v>323</v>
      </c>
      <c r="G188" s="161">
        <v>1</v>
      </c>
      <c r="H188" s="161"/>
      <c r="I188" s="91"/>
      <c r="J188" s="91"/>
      <c r="K188" s="91"/>
      <c r="L188" s="161">
        <v>1</v>
      </c>
      <c r="M188" s="91"/>
      <c r="N188" s="91"/>
      <c r="O188" s="91"/>
      <c r="P188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</v>
      </c>
    </row>
    <row r="189" spans="1:16" s="238" customFormat="1" ht="15">
      <c r="A189" s="190" t="s">
        <v>994</v>
      </c>
      <c r="B189" s="160" t="s">
        <v>960</v>
      </c>
      <c r="C189" s="160" t="s">
        <v>1262</v>
      </c>
      <c r="D189" s="242" t="s">
        <v>433</v>
      </c>
      <c r="E189" s="163" t="s">
        <v>316</v>
      </c>
      <c r="F189" s="160" t="s">
        <v>323</v>
      </c>
      <c r="G189" s="161">
        <v>1</v>
      </c>
      <c r="H189" s="161"/>
      <c r="I189" s="91"/>
      <c r="J189" s="91"/>
      <c r="K189" s="91"/>
      <c r="L189" s="161">
        <v>1</v>
      </c>
      <c r="M189" s="91"/>
      <c r="N189" s="91"/>
      <c r="O189" s="91"/>
      <c r="P189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</v>
      </c>
    </row>
    <row r="190" spans="1:16" s="238" customFormat="1" ht="15">
      <c r="A190" s="190" t="s">
        <v>994</v>
      </c>
      <c r="B190" s="160" t="s">
        <v>960</v>
      </c>
      <c r="C190" s="160" t="s">
        <v>1262</v>
      </c>
      <c r="D190" s="242" t="s">
        <v>433</v>
      </c>
      <c r="E190" s="163" t="s">
        <v>316</v>
      </c>
      <c r="F190" s="160" t="s">
        <v>323</v>
      </c>
      <c r="G190" s="161">
        <v>6</v>
      </c>
      <c r="H190" s="161"/>
      <c r="I190" s="91"/>
      <c r="J190" s="91"/>
      <c r="K190" s="91"/>
      <c r="L190" s="161">
        <v>1</v>
      </c>
      <c r="M190" s="91"/>
      <c r="N190" s="91"/>
      <c r="O190" s="91"/>
      <c r="P190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6</v>
      </c>
    </row>
    <row r="191" spans="1:16" s="238" customFormat="1" ht="15">
      <c r="A191" s="190" t="s">
        <v>994</v>
      </c>
      <c r="B191" s="160" t="s">
        <v>960</v>
      </c>
      <c r="C191" s="160" t="s">
        <v>1262</v>
      </c>
      <c r="D191" s="242" t="s">
        <v>433</v>
      </c>
      <c r="E191" s="163" t="s">
        <v>316</v>
      </c>
      <c r="F191" s="160" t="s">
        <v>323</v>
      </c>
      <c r="G191" s="161">
        <v>10</v>
      </c>
      <c r="H191" s="161"/>
      <c r="I191" s="91"/>
      <c r="J191" s="91"/>
      <c r="K191" s="91"/>
      <c r="L191" s="161">
        <v>1</v>
      </c>
      <c r="M191" s="91"/>
      <c r="N191" s="91"/>
      <c r="O191" s="91"/>
      <c r="P191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10</v>
      </c>
    </row>
    <row r="192" spans="1:16" s="238" customFormat="1" ht="15">
      <c r="A192" s="190" t="s">
        <v>994</v>
      </c>
      <c r="B192" s="160" t="s">
        <v>960</v>
      </c>
      <c r="C192" s="160" t="s">
        <v>1262</v>
      </c>
      <c r="D192" s="242" t="s">
        <v>433</v>
      </c>
      <c r="E192" s="163" t="s">
        <v>316</v>
      </c>
      <c r="F192" s="160" t="s">
        <v>323</v>
      </c>
      <c r="G192" s="161">
        <v>12</v>
      </c>
      <c r="H192" s="161"/>
      <c r="I192" s="91"/>
      <c r="J192" s="91"/>
      <c r="K192" s="91"/>
      <c r="L192" s="161">
        <v>1</v>
      </c>
      <c r="M192" s="91"/>
      <c r="N192" s="91"/>
      <c r="O192" s="91"/>
      <c r="P192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12</v>
      </c>
    </row>
    <row r="193" spans="1:16" s="238" customFormat="1" ht="30">
      <c r="A193" s="190" t="s">
        <v>994</v>
      </c>
      <c r="B193" s="160" t="s">
        <v>960</v>
      </c>
      <c r="C193" s="160" t="s">
        <v>996</v>
      </c>
      <c r="D193" s="242" t="s">
        <v>433</v>
      </c>
      <c r="E193" s="163" t="s">
        <v>316</v>
      </c>
      <c r="F193" s="160" t="s">
        <v>317</v>
      </c>
      <c r="G193" s="161">
        <v>1</v>
      </c>
      <c r="H193" s="161"/>
      <c r="I193" s="91"/>
      <c r="J193" s="91"/>
      <c r="K193" s="91"/>
      <c r="L193" s="161">
        <v>1</v>
      </c>
      <c r="M193" s="91"/>
      <c r="N193" s="91"/>
      <c r="O193" s="91"/>
      <c r="P193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</v>
      </c>
    </row>
    <row r="194" spans="1:16" s="238" customFormat="1" ht="30">
      <c r="A194" s="190" t="s">
        <v>994</v>
      </c>
      <c r="B194" s="160" t="s">
        <v>960</v>
      </c>
      <c r="C194" s="160" t="s">
        <v>960</v>
      </c>
      <c r="D194" s="242" t="s">
        <v>433</v>
      </c>
      <c r="E194" s="163" t="s">
        <v>316</v>
      </c>
      <c r="F194" s="160" t="s">
        <v>317</v>
      </c>
      <c r="G194" s="161">
        <v>5</v>
      </c>
      <c r="H194" s="161"/>
      <c r="I194" s="91"/>
      <c r="J194" s="91"/>
      <c r="K194" s="91"/>
      <c r="L194" s="161">
        <v>1</v>
      </c>
      <c r="M194" s="91"/>
      <c r="N194" s="91"/>
      <c r="O194" s="91"/>
      <c r="P194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5</v>
      </c>
    </row>
    <row r="195" spans="1:16" s="238" customFormat="1" ht="30">
      <c r="A195" s="190" t="s">
        <v>994</v>
      </c>
      <c r="B195" s="160" t="s">
        <v>960</v>
      </c>
      <c r="C195" s="160" t="s">
        <v>996</v>
      </c>
      <c r="D195" s="242" t="s">
        <v>433</v>
      </c>
      <c r="E195" s="163" t="s">
        <v>316</v>
      </c>
      <c r="F195" s="160" t="s">
        <v>317</v>
      </c>
      <c r="G195" s="161">
        <v>10</v>
      </c>
      <c r="H195" s="161"/>
      <c r="I195" s="91"/>
      <c r="J195" s="91"/>
      <c r="K195" s="91"/>
      <c r="L195" s="161">
        <v>1</v>
      </c>
      <c r="M195" s="91"/>
      <c r="N195" s="91"/>
      <c r="O195" s="91"/>
      <c r="P195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10</v>
      </c>
    </row>
    <row r="196" spans="1:16" s="238" customFormat="1" ht="15">
      <c r="A196" s="190" t="s">
        <v>994</v>
      </c>
      <c r="B196" s="160" t="s">
        <v>960</v>
      </c>
      <c r="C196" s="160" t="s">
        <v>996</v>
      </c>
      <c r="D196" s="242" t="s">
        <v>433</v>
      </c>
      <c r="E196" s="163" t="s">
        <v>316</v>
      </c>
      <c r="F196" s="160" t="s">
        <v>365</v>
      </c>
      <c r="G196" s="161">
        <v>1</v>
      </c>
      <c r="H196" s="161"/>
      <c r="I196" s="91"/>
      <c r="J196" s="91"/>
      <c r="K196" s="91"/>
      <c r="L196" s="161">
        <v>3</v>
      </c>
      <c r="M196" s="91"/>
      <c r="N196" s="91"/>
      <c r="O196" s="91"/>
      <c r="P196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3</v>
      </c>
    </row>
    <row r="197" spans="1:16" s="238" customFormat="1" ht="15">
      <c r="A197" s="190" t="s">
        <v>994</v>
      </c>
      <c r="B197" s="160" t="s">
        <v>960</v>
      </c>
      <c r="C197" s="160" t="s">
        <v>996</v>
      </c>
      <c r="D197" s="242" t="s">
        <v>433</v>
      </c>
      <c r="E197" s="163" t="s">
        <v>316</v>
      </c>
      <c r="F197" s="160" t="s">
        <v>365</v>
      </c>
      <c r="G197" s="161">
        <v>10</v>
      </c>
      <c r="H197" s="161"/>
      <c r="I197" s="91"/>
      <c r="J197" s="91"/>
      <c r="K197" s="91"/>
      <c r="L197" s="161">
        <v>6</v>
      </c>
      <c r="M197" s="91"/>
      <c r="N197" s="91"/>
      <c r="O197" s="91"/>
      <c r="P197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60</v>
      </c>
    </row>
    <row r="198" spans="1:16" ht="30">
      <c r="A198" s="194">
        <v>41455</v>
      </c>
      <c r="B198" s="185" t="s">
        <v>963</v>
      </c>
      <c r="C198" s="185" t="s">
        <v>1263</v>
      </c>
      <c r="D198" s="242" t="s">
        <v>433</v>
      </c>
      <c r="E198" s="186" t="s">
        <v>316</v>
      </c>
      <c r="F198" s="185" t="s">
        <v>1305</v>
      </c>
      <c r="G198" s="303">
        <v>1</v>
      </c>
      <c r="H198" s="188"/>
      <c r="I198" s="2"/>
      <c r="J198" s="2"/>
      <c r="K198" s="2"/>
      <c r="L198" s="301"/>
      <c r="M198" s="2">
        <v>12</v>
      </c>
      <c r="N198" s="2">
        <v>12</v>
      </c>
      <c r="O198" s="2"/>
      <c r="P198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12</v>
      </c>
    </row>
    <row r="199" spans="1:16" ht="15">
      <c r="A199" s="194">
        <v>41455</v>
      </c>
      <c r="B199" s="185" t="s">
        <v>963</v>
      </c>
      <c r="C199" s="185" t="s">
        <v>996</v>
      </c>
      <c r="D199" s="242" t="s">
        <v>433</v>
      </c>
      <c r="E199" s="186" t="s">
        <v>294</v>
      </c>
      <c r="F199" s="185" t="s">
        <v>1306</v>
      </c>
      <c r="G199" s="303">
        <v>1</v>
      </c>
      <c r="H199" s="188"/>
      <c r="I199" s="2"/>
      <c r="J199" s="2"/>
      <c r="K199" s="2"/>
      <c r="L199" s="301"/>
      <c r="M199" s="2">
        <v>30</v>
      </c>
      <c r="N199" s="2">
        <v>30</v>
      </c>
      <c r="O199" s="2"/>
      <c r="P199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30</v>
      </c>
    </row>
    <row r="200" spans="1:16" ht="15">
      <c r="A200" s="194">
        <v>41455</v>
      </c>
      <c r="B200" s="185" t="s">
        <v>963</v>
      </c>
      <c r="C200" s="185" t="s">
        <v>996</v>
      </c>
      <c r="D200" s="242" t="s">
        <v>433</v>
      </c>
      <c r="E200" s="186" t="s">
        <v>155</v>
      </c>
      <c r="F200" s="185" t="s">
        <v>1307</v>
      </c>
      <c r="G200" s="303">
        <v>1</v>
      </c>
      <c r="H200" s="188"/>
      <c r="I200" s="2"/>
      <c r="J200" s="2"/>
      <c r="K200" s="2"/>
      <c r="L200" s="301"/>
      <c r="M200" s="2">
        <v>39</v>
      </c>
      <c r="N200" s="2">
        <v>39</v>
      </c>
      <c r="O200" s="2"/>
      <c r="P200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39</v>
      </c>
    </row>
    <row r="201" spans="1:16" ht="30">
      <c r="A201" s="194">
        <v>41455</v>
      </c>
      <c r="B201" s="185" t="s">
        <v>963</v>
      </c>
      <c r="C201" s="185" t="s">
        <v>1263</v>
      </c>
      <c r="D201" s="242" t="s">
        <v>433</v>
      </c>
      <c r="E201" s="186" t="s">
        <v>241</v>
      </c>
      <c r="F201" s="185" t="s">
        <v>1308</v>
      </c>
      <c r="G201" s="303">
        <v>1</v>
      </c>
      <c r="H201" s="188"/>
      <c r="I201" s="2"/>
      <c r="J201" s="2"/>
      <c r="K201" s="2"/>
      <c r="L201" s="301"/>
      <c r="M201" s="2">
        <v>46</v>
      </c>
      <c r="N201" s="2">
        <v>46</v>
      </c>
      <c r="O201" s="2"/>
      <c r="P201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46</v>
      </c>
    </row>
    <row r="202" spans="1:16" ht="15">
      <c r="A202" s="194">
        <v>41455</v>
      </c>
      <c r="B202" s="185" t="s">
        <v>963</v>
      </c>
      <c r="C202" s="185" t="s">
        <v>1262</v>
      </c>
      <c r="D202" s="242" t="s">
        <v>433</v>
      </c>
      <c r="E202" s="186" t="s">
        <v>316</v>
      </c>
      <c r="F202" s="185" t="s">
        <v>1309</v>
      </c>
      <c r="G202" s="303">
        <v>1</v>
      </c>
      <c r="H202" s="188"/>
      <c r="I202" s="2"/>
      <c r="J202" s="2"/>
      <c r="K202" s="2"/>
      <c r="L202" s="301"/>
      <c r="M202" s="2">
        <v>50</v>
      </c>
      <c r="N202" s="2">
        <v>50</v>
      </c>
      <c r="O202" s="2"/>
      <c r="P202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50</v>
      </c>
    </row>
    <row r="203" spans="1:16" ht="30">
      <c r="A203" s="194">
        <v>41455</v>
      </c>
      <c r="B203" s="185" t="s">
        <v>963</v>
      </c>
      <c r="C203" s="185" t="s">
        <v>996</v>
      </c>
      <c r="D203" s="242" t="s">
        <v>433</v>
      </c>
      <c r="E203" s="186" t="s">
        <v>294</v>
      </c>
      <c r="F203" s="185" t="s">
        <v>1310</v>
      </c>
      <c r="G203" s="303">
        <v>1</v>
      </c>
      <c r="H203" s="188"/>
      <c r="I203" s="2"/>
      <c r="J203" s="2"/>
      <c r="K203" s="2"/>
      <c r="L203" s="301"/>
      <c r="M203" s="2">
        <v>78</v>
      </c>
      <c r="N203" s="2">
        <v>78</v>
      </c>
      <c r="O203" s="2"/>
      <c r="P203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78</v>
      </c>
    </row>
    <row r="204" spans="1:16" ht="15">
      <c r="A204" s="194">
        <v>41455</v>
      </c>
      <c r="B204" s="185" t="s">
        <v>963</v>
      </c>
      <c r="C204" s="185" t="s">
        <v>1262</v>
      </c>
      <c r="D204" s="242" t="s">
        <v>433</v>
      </c>
      <c r="E204" s="186" t="s">
        <v>29</v>
      </c>
      <c r="F204" s="185" t="s">
        <v>1311</v>
      </c>
      <c r="G204" s="303">
        <v>1</v>
      </c>
      <c r="H204" s="188"/>
      <c r="I204" s="2"/>
      <c r="J204" s="2"/>
      <c r="K204" s="2"/>
      <c r="L204" s="301"/>
      <c r="M204" s="2">
        <v>82</v>
      </c>
      <c r="N204" s="2">
        <v>82</v>
      </c>
      <c r="O204" s="2"/>
      <c r="P204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82</v>
      </c>
    </row>
    <row r="205" spans="1:16" ht="15">
      <c r="A205" s="194">
        <v>41455</v>
      </c>
      <c r="B205" s="185" t="s">
        <v>963</v>
      </c>
      <c r="C205" s="185" t="s">
        <v>1262</v>
      </c>
      <c r="D205" s="242" t="s">
        <v>433</v>
      </c>
      <c r="E205" s="186" t="s">
        <v>316</v>
      </c>
      <c r="F205" s="185" t="s">
        <v>1312</v>
      </c>
      <c r="G205" s="303">
        <v>1</v>
      </c>
      <c r="H205" s="188"/>
      <c r="I205" s="2"/>
      <c r="J205" s="2"/>
      <c r="K205" s="2"/>
      <c r="L205" s="301"/>
      <c r="M205" s="2">
        <v>100</v>
      </c>
      <c r="N205" s="2">
        <v>100</v>
      </c>
      <c r="O205" s="2"/>
      <c r="P205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100</v>
      </c>
    </row>
    <row r="206" spans="1:16" ht="15">
      <c r="A206" s="194">
        <v>41455</v>
      </c>
      <c r="B206" s="185" t="s">
        <v>963</v>
      </c>
      <c r="C206" s="185" t="s">
        <v>1263</v>
      </c>
      <c r="D206" s="242" t="s">
        <v>433</v>
      </c>
      <c r="E206" s="186" t="s">
        <v>189</v>
      </c>
      <c r="F206" s="185" t="s">
        <v>1313</v>
      </c>
      <c r="G206" s="303">
        <v>1</v>
      </c>
      <c r="H206" s="188"/>
      <c r="I206" s="2"/>
      <c r="J206" s="2"/>
      <c r="K206" s="2"/>
      <c r="L206" s="301"/>
      <c r="M206" s="2">
        <v>338</v>
      </c>
      <c r="N206" s="2">
        <v>338</v>
      </c>
      <c r="O206" s="2"/>
      <c r="P206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338</v>
      </c>
    </row>
    <row r="207" spans="1:16" ht="15">
      <c r="A207" s="194">
        <v>41455</v>
      </c>
      <c r="B207" s="185" t="s">
        <v>963</v>
      </c>
      <c r="C207" s="185" t="s">
        <v>1263</v>
      </c>
      <c r="D207" s="242" t="s">
        <v>433</v>
      </c>
      <c r="E207" s="186" t="s">
        <v>316</v>
      </c>
      <c r="F207" s="185" t="s">
        <v>1314</v>
      </c>
      <c r="G207" s="303">
        <v>1</v>
      </c>
      <c r="H207" s="188"/>
      <c r="I207" s="2"/>
      <c r="J207" s="2"/>
      <c r="K207" s="2"/>
      <c r="L207" s="301"/>
      <c r="M207" s="2">
        <v>604</v>
      </c>
      <c r="N207" s="2">
        <v>604</v>
      </c>
      <c r="O207" s="2"/>
      <c r="P207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604</v>
      </c>
    </row>
    <row r="208" spans="1:16" s="109" customFormat="1" ht="15">
      <c r="A208" s="222">
        <v>41456</v>
      </c>
      <c r="B208" s="91" t="s">
        <v>968</v>
      </c>
      <c r="C208" s="91" t="s">
        <v>968</v>
      </c>
      <c r="D208" s="91" t="s">
        <v>434</v>
      </c>
      <c r="E208" s="1" t="s">
        <v>458</v>
      </c>
      <c r="F208" s="91" t="s">
        <v>502</v>
      </c>
      <c r="G208" s="91">
        <v>8</v>
      </c>
      <c r="H208" s="91"/>
      <c r="I208" s="91"/>
      <c r="J208" s="91">
        <v>22</v>
      </c>
      <c r="K208" s="91">
        <v>22</v>
      </c>
      <c r="L208" s="91"/>
      <c r="M208" s="91"/>
      <c r="N208" s="91"/>
      <c r="O208" s="91"/>
      <c r="P208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176</v>
      </c>
    </row>
    <row r="209" spans="1:16" s="109" customFormat="1" ht="15">
      <c r="A209" s="222">
        <v>41456</v>
      </c>
      <c r="B209" s="91" t="s">
        <v>974</v>
      </c>
      <c r="C209" s="91" t="s">
        <v>974</v>
      </c>
      <c r="D209" s="91" t="s">
        <v>434</v>
      </c>
      <c r="E209" s="1" t="s">
        <v>458</v>
      </c>
      <c r="F209" s="91" t="s">
        <v>502</v>
      </c>
      <c r="G209" s="91">
        <v>8</v>
      </c>
      <c r="H209" s="91"/>
      <c r="I209" s="91"/>
      <c r="J209" s="91">
        <v>7</v>
      </c>
      <c r="K209" s="91">
        <v>7</v>
      </c>
      <c r="L209" s="91"/>
      <c r="M209" s="91"/>
      <c r="N209" s="91"/>
      <c r="O209" s="91"/>
      <c r="P209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56</v>
      </c>
    </row>
    <row r="210" spans="1:16" s="109" customFormat="1" ht="15">
      <c r="A210" s="222">
        <v>41456</v>
      </c>
      <c r="B210" s="91" t="s">
        <v>974</v>
      </c>
      <c r="C210" s="91" t="s">
        <v>974</v>
      </c>
      <c r="D210" s="91" t="s">
        <v>434</v>
      </c>
      <c r="E210" s="1" t="s">
        <v>458</v>
      </c>
      <c r="F210" s="91" t="s">
        <v>503</v>
      </c>
      <c r="G210" s="91">
        <v>8</v>
      </c>
      <c r="H210" s="91"/>
      <c r="I210" s="91"/>
      <c r="J210" s="91">
        <v>31</v>
      </c>
      <c r="K210" s="91">
        <v>31</v>
      </c>
      <c r="L210" s="91"/>
      <c r="M210" s="91"/>
      <c r="N210" s="91"/>
      <c r="O210" s="91"/>
      <c r="P210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248</v>
      </c>
    </row>
    <row r="211" spans="1:16" s="109" customFormat="1" ht="15">
      <c r="A211" s="222">
        <v>41456</v>
      </c>
      <c r="B211" s="91" t="s">
        <v>968</v>
      </c>
      <c r="C211" s="91" t="s">
        <v>968</v>
      </c>
      <c r="D211" s="91" t="s">
        <v>434</v>
      </c>
      <c r="E211" s="1" t="s">
        <v>456</v>
      </c>
      <c r="F211" s="91" t="s">
        <v>490</v>
      </c>
      <c r="G211" s="91">
        <v>8</v>
      </c>
      <c r="H211" s="91"/>
      <c r="I211" s="91"/>
      <c r="J211" s="91">
        <v>9</v>
      </c>
      <c r="K211" s="91">
        <v>9</v>
      </c>
      <c r="L211" s="91"/>
      <c r="M211" s="91"/>
      <c r="N211" s="91"/>
      <c r="O211" s="91"/>
      <c r="P211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72</v>
      </c>
    </row>
    <row r="212" spans="1:16" s="109" customFormat="1" ht="15">
      <c r="A212" s="222">
        <v>41456</v>
      </c>
      <c r="B212" s="91" t="s">
        <v>968</v>
      </c>
      <c r="C212" s="91" t="s">
        <v>968</v>
      </c>
      <c r="D212" s="91" t="s">
        <v>434</v>
      </c>
      <c r="E212" s="1" t="s">
        <v>456</v>
      </c>
      <c r="F212" s="91" t="s">
        <v>491</v>
      </c>
      <c r="G212" s="91">
        <v>8</v>
      </c>
      <c r="H212" s="91"/>
      <c r="I212" s="91"/>
      <c r="J212" s="91">
        <v>7</v>
      </c>
      <c r="K212" s="91">
        <v>7</v>
      </c>
      <c r="L212" s="91"/>
      <c r="M212" s="91"/>
      <c r="N212" s="91"/>
      <c r="O212" s="91"/>
      <c r="P212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56</v>
      </c>
    </row>
    <row r="213" spans="1:16" s="109" customFormat="1" ht="15">
      <c r="A213" s="222">
        <v>41456</v>
      </c>
      <c r="B213" s="91" t="s">
        <v>968</v>
      </c>
      <c r="C213" s="91" t="s">
        <v>968</v>
      </c>
      <c r="D213" s="91" t="s">
        <v>434</v>
      </c>
      <c r="E213" s="1" t="s">
        <v>456</v>
      </c>
      <c r="F213" s="91" t="s">
        <v>496</v>
      </c>
      <c r="G213" s="91">
        <v>8</v>
      </c>
      <c r="H213" s="91"/>
      <c r="I213" s="91"/>
      <c r="J213" s="91">
        <v>18</v>
      </c>
      <c r="K213" s="91">
        <v>15</v>
      </c>
      <c r="L213" s="91">
        <v>3</v>
      </c>
      <c r="M213" s="91"/>
      <c r="N213" s="91"/>
      <c r="O213" s="91"/>
      <c r="P213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144</v>
      </c>
    </row>
    <row r="214" spans="1:16" s="109" customFormat="1" ht="15">
      <c r="A214" s="222">
        <v>41456</v>
      </c>
      <c r="B214" s="91" t="s">
        <v>968</v>
      </c>
      <c r="C214" s="91" t="s">
        <v>968</v>
      </c>
      <c r="D214" s="91" t="s">
        <v>434</v>
      </c>
      <c r="E214" s="1" t="s">
        <v>456</v>
      </c>
      <c r="F214" s="91" t="s">
        <v>493</v>
      </c>
      <c r="G214" s="91">
        <v>8</v>
      </c>
      <c r="H214" s="91"/>
      <c r="I214" s="91"/>
      <c r="J214" s="91">
        <v>29</v>
      </c>
      <c r="K214" s="91">
        <v>24</v>
      </c>
      <c r="L214" s="91">
        <v>5</v>
      </c>
      <c r="M214" s="91"/>
      <c r="N214" s="91"/>
      <c r="O214" s="91"/>
      <c r="P214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232</v>
      </c>
    </row>
    <row r="215" spans="1:16" s="109" customFormat="1" ht="15">
      <c r="A215" s="222">
        <v>41456</v>
      </c>
      <c r="B215" s="91" t="s">
        <v>968</v>
      </c>
      <c r="C215" s="91" t="s">
        <v>968</v>
      </c>
      <c r="D215" s="91" t="s">
        <v>434</v>
      </c>
      <c r="E215" s="1" t="s">
        <v>456</v>
      </c>
      <c r="F215" s="91" t="s">
        <v>497</v>
      </c>
      <c r="G215" s="91">
        <v>8</v>
      </c>
      <c r="H215" s="91"/>
      <c r="I215" s="91"/>
      <c r="J215" s="91">
        <v>10</v>
      </c>
      <c r="K215" s="91">
        <v>10</v>
      </c>
      <c r="L215" s="91"/>
      <c r="M215" s="91"/>
      <c r="N215" s="91"/>
      <c r="O215" s="91"/>
      <c r="P215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80</v>
      </c>
    </row>
    <row r="216" spans="1:16" s="109" customFormat="1" ht="15">
      <c r="A216" s="222">
        <v>41456</v>
      </c>
      <c r="B216" s="91" t="s">
        <v>968</v>
      </c>
      <c r="C216" s="91" t="s">
        <v>968</v>
      </c>
      <c r="D216" s="91" t="s">
        <v>434</v>
      </c>
      <c r="E216" s="1" t="s">
        <v>456</v>
      </c>
      <c r="F216" s="91" t="s">
        <v>487</v>
      </c>
      <c r="G216" s="91">
        <v>8</v>
      </c>
      <c r="H216" s="91"/>
      <c r="I216" s="91"/>
      <c r="J216" s="91">
        <v>2</v>
      </c>
      <c r="K216" s="91">
        <v>2</v>
      </c>
      <c r="L216" s="91"/>
      <c r="M216" s="91"/>
      <c r="N216" s="91"/>
      <c r="O216" s="91"/>
      <c r="P216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16</v>
      </c>
    </row>
    <row r="217" spans="1:16" s="109" customFormat="1" ht="15">
      <c r="A217" s="222">
        <v>41456</v>
      </c>
      <c r="B217" s="91" t="s">
        <v>968</v>
      </c>
      <c r="C217" s="91" t="s">
        <v>968</v>
      </c>
      <c r="D217" s="91" t="s">
        <v>434</v>
      </c>
      <c r="E217" s="1" t="s">
        <v>456</v>
      </c>
      <c r="F217" s="91" t="s">
        <v>492</v>
      </c>
      <c r="G217" s="91">
        <v>8</v>
      </c>
      <c r="H217" s="91"/>
      <c r="I217" s="91"/>
      <c r="J217" s="91">
        <v>2</v>
      </c>
      <c r="K217" s="91">
        <v>2</v>
      </c>
      <c r="L217" s="91"/>
      <c r="M217" s="91"/>
      <c r="N217" s="91"/>
      <c r="O217" s="91"/>
      <c r="P217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16</v>
      </c>
    </row>
    <row r="218" spans="1:16" s="109" customFormat="1" ht="15">
      <c r="A218" s="222">
        <v>41456</v>
      </c>
      <c r="B218" s="91" t="s">
        <v>968</v>
      </c>
      <c r="C218" s="91" t="s">
        <v>968</v>
      </c>
      <c r="D218" s="91" t="s">
        <v>434</v>
      </c>
      <c r="E218" s="1" t="s">
        <v>456</v>
      </c>
      <c r="F218" s="91" t="s">
        <v>494</v>
      </c>
      <c r="G218" s="91">
        <v>8</v>
      </c>
      <c r="H218" s="91"/>
      <c r="I218" s="91"/>
      <c r="J218" s="91">
        <v>10</v>
      </c>
      <c r="K218" s="91">
        <v>10</v>
      </c>
      <c r="L218" s="91"/>
      <c r="M218" s="91"/>
      <c r="N218" s="91"/>
      <c r="O218" s="91"/>
      <c r="P218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80</v>
      </c>
    </row>
    <row r="219" spans="1:16" s="109" customFormat="1" ht="15">
      <c r="A219" s="222">
        <v>41456</v>
      </c>
      <c r="B219" s="91" t="s">
        <v>968</v>
      </c>
      <c r="C219" s="91" t="s">
        <v>968</v>
      </c>
      <c r="D219" s="91" t="s">
        <v>434</v>
      </c>
      <c r="E219" s="1" t="s">
        <v>456</v>
      </c>
      <c r="F219" s="91" t="s">
        <v>489</v>
      </c>
      <c r="G219" s="91">
        <v>8</v>
      </c>
      <c r="H219" s="91"/>
      <c r="I219" s="91"/>
      <c r="J219" s="91">
        <v>2</v>
      </c>
      <c r="K219" s="45">
        <v>1</v>
      </c>
      <c r="L219" s="91">
        <v>1</v>
      </c>
      <c r="M219" s="91"/>
      <c r="N219" s="91"/>
      <c r="O219" s="91"/>
      <c r="P219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16</v>
      </c>
    </row>
    <row r="220" spans="1:16" s="109" customFormat="1" ht="15">
      <c r="A220" s="222">
        <v>41456</v>
      </c>
      <c r="B220" s="91" t="s">
        <v>968</v>
      </c>
      <c r="C220" s="91" t="s">
        <v>968</v>
      </c>
      <c r="D220" s="91" t="s">
        <v>434</v>
      </c>
      <c r="E220" s="1" t="s">
        <v>456</v>
      </c>
      <c r="F220" s="91" t="s">
        <v>495</v>
      </c>
      <c r="G220" s="91">
        <v>8</v>
      </c>
      <c r="H220" s="91"/>
      <c r="I220" s="91"/>
      <c r="J220" s="91">
        <v>14</v>
      </c>
      <c r="K220" s="45">
        <v>12</v>
      </c>
      <c r="L220" s="91">
        <v>2</v>
      </c>
      <c r="M220" s="91"/>
      <c r="N220" s="91"/>
      <c r="O220" s="91"/>
      <c r="P220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112</v>
      </c>
    </row>
    <row r="221" spans="1:16" s="109" customFormat="1" ht="15">
      <c r="A221" s="222">
        <v>41456</v>
      </c>
      <c r="B221" s="91" t="s">
        <v>968</v>
      </c>
      <c r="C221" s="91" t="s">
        <v>968</v>
      </c>
      <c r="D221" s="91" t="s">
        <v>434</v>
      </c>
      <c r="E221" s="1" t="s">
        <v>456</v>
      </c>
      <c r="F221" s="91" t="s">
        <v>488</v>
      </c>
      <c r="G221" s="91">
        <v>8</v>
      </c>
      <c r="H221" s="91"/>
      <c r="I221" s="91"/>
      <c r="J221" s="91">
        <v>8</v>
      </c>
      <c r="K221" s="45">
        <v>6</v>
      </c>
      <c r="L221" s="91">
        <v>2</v>
      </c>
      <c r="M221" s="91"/>
      <c r="N221" s="91"/>
      <c r="O221" s="91"/>
      <c r="P221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64</v>
      </c>
    </row>
    <row r="222" spans="1:16" s="109" customFormat="1" ht="15">
      <c r="A222" s="222">
        <v>41456</v>
      </c>
      <c r="B222" s="91" t="s">
        <v>968</v>
      </c>
      <c r="C222" s="91" t="s">
        <v>968</v>
      </c>
      <c r="D222" s="91" t="s">
        <v>434</v>
      </c>
      <c r="E222" s="1" t="s">
        <v>461</v>
      </c>
      <c r="F222" s="45" t="s">
        <v>1235</v>
      </c>
      <c r="G222" s="91">
        <v>1</v>
      </c>
      <c r="H222" s="91"/>
      <c r="I222" s="91"/>
      <c r="J222" s="91"/>
      <c r="K222" s="91"/>
      <c r="L222" s="91"/>
      <c r="M222" s="91">
        <v>9</v>
      </c>
      <c r="N222" s="91">
        <v>9</v>
      </c>
      <c r="O222" s="91"/>
      <c r="P222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9</v>
      </c>
    </row>
    <row r="223" spans="1:16" s="109" customFormat="1" ht="15">
      <c r="A223" s="222">
        <v>41456</v>
      </c>
      <c r="B223" s="91" t="s">
        <v>968</v>
      </c>
      <c r="C223" s="91" t="s">
        <v>968</v>
      </c>
      <c r="D223" s="91" t="s">
        <v>434</v>
      </c>
      <c r="E223" s="1" t="s">
        <v>461</v>
      </c>
      <c r="F223" s="45" t="s">
        <v>1236</v>
      </c>
      <c r="G223" s="91">
        <v>1</v>
      </c>
      <c r="H223" s="91"/>
      <c r="I223" s="91"/>
      <c r="J223" s="91"/>
      <c r="K223" s="91"/>
      <c r="L223" s="91"/>
      <c r="M223" s="91">
        <v>77</v>
      </c>
      <c r="N223" s="91">
        <v>77</v>
      </c>
      <c r="O223" s="91"/>
      <c r="P223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77</v>
      </c>
    </row>
    <row r="224" spans="1:16" s="109" customFormat="1" ht="15">
      <c r="A224" s="222">
        <v>41456</v>
      </c>
      <c r="B224" s="91" t="s">
        <v>968</v>
      </c>
      <c r="C224" s="91" t="s">
        <v>968</v>
      </c>
      <c r="D224" s="91" t="s">
        <v>434</v>
      </c>
      <c r="E224" s="1" t="s">
        <v>461</v>
      </c>
      <c r="F224" s="45" t="s">
        <v>543</v>
      </c>
      <c r="G224" s="91">
        <v>1</v>
      </c>
      <c r="H224" s="91"/>
      <c r="I224" s="91"/>
      <c r="J224" s="91"/>
      <c r="K224" s="91"/>
      <c r="L224" s="91"/>
      <c r="M224" s="91">
        <v>11</v>
      </c>
      <c r="N224" s="91">
        <v>11</v>
      </c>
      <c r="O224" s="91"/>
      <c r="P224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11</v>
      </c>
    </row>
    <row r="225" spans="1:16" s="109" customFormat="1" ht="15">
      <c r="A225" s="222">
        <v>41456</v>
      </c>
      <c r="B225" s="91" t="s">
        <v>960</v>
      </c>
      <c r="C225" s="91" t="s">
        <v>960</v>
      </c>
      <c r="D225" s="91" t="s">
        <v>434</v>
      </c>
      <c r="E225" s="1" t="s">
        <v>461</v>
      </c>
      <c r="F225" s="45" t="s">
        <v>543</v>
      </c>
      <c r="G225" s="91">
        <v>1</v>
      </c>
      <c r="H225" s="91"/>
      <c r="I225" s="91"/>
      <c r="J225" s="91"/>
      <c r="K225" s="91"/>
      <c r="L225" s="91"/>
      <c r="M225" s="91">
        <v>102</v>
      </c>
      <c r="N225" s="91">
        <v>98</v>
      </c>
      <c r="O225" s="91">
        <v>0</v>
      </c>
      <c r="P225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98</v>
      </c>
    </row>
    <row r="226" spans="1:16" s="109" customFormat="1" ht="15">
      <c r="A226" s="222">
        <v>41456</v>
      </c>
      <c r="B226" s="91" t="s">
        <v>968</v>
      </c>
      <c r="C226" s="91" t="s">
        <v>968</v>
      </c>
      <c r="D226" s="91" t="s">
        <v>434</v>
      </c>
      <c r="E226" s="1" t="s">
        <v>461</v>
      </c>
      <c r="F226" s="45" t="s">
        <v>1239</v>
      </c>
      <c r="G226" s="91">
        <v>1</v>
      </c>
      <c r="H226" s="91"/>
      <c r="I226" s="91"/>
      <c r="J226" s="91"/>
      <c r="K226" s="91"/>
      <c r="L226" s="91"/>
      <c r="M226" s="91">
        <v>22</v>
      </c>
      <c r="N226" s="91">
        <v>22</v>
      </c>
      <c r="O226" s="91"/>
      <c r="P226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22</v>
      </c>
    </row>
    <row r="227" spans="1:16" s="109" customFormat="1" ht="15">
      <c r="A227" s="222">
        <v>41456</v>
      </c>
      <c r="B227" s="91" t="s">
        <v>960</v>
      </c>
      <c r="C227" s="91" t="s">
        <v>960</v>
      </c>
      <c r="D227" s="91" t="s">
        <v>434</v>
      </c>
      <c r="E227" s="1" t="s">
        <v>461</v>
      </c>
      <c r="F227" s="45" t="s">
        <v>1239</v>
      </c>
      <c r="G227" s="91">
        <v>1</v>
      </c>
      <c r="H227" s="91"/>
      <c r="I227" s="91"/>
      <c r="J227" s="91"/>
      <c r="K227" s="91"/>
      <c r="L227" s="91"/>
      <c r="M227" s="91">
        <v>25</v>
      </c>
      <c r="N227" s="91">
        <v>25</v>
      </c>
      <c r="O227" s="91"/>
      <c r="P227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25</v>
      </c>
    </row>
    <row r="228" spans="1:16" s="109" customFormat="1" ht="15">
      <c r="A228" s="222">
        <v>41456</v>
      </c>
      <c r="B228" s="91" t="s">
        <v>968</v>
      </c>
      <c r="C228" s="91" t="s">
        <v>968</v>
      </c>
      <c r="D228" s="91" t="s">
        <v>434</v>
      </c>
      <c r="E228" s="1" t="s">
        <v>461</v>
      </c>
      <c r="F228" s="45" t="s">
        <v>1237</v>
      </c>
      <c r="G228" s="91">
        <v>1</v>
      </c>
      <c r="H228" s="91"/>
      <c r="I228" s="91"/>
      <c r="J228" s="91"/>
      <c r="K228" s="91"/>
      <c r="L228" s="91"/>
      <c r="M228" s="91">
        <v>2</v>
      </c>
      <c r="N228" s="91">
        <v>2</v>
      </c>
      <c r="O228" s="91"/>
      <c r="P228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2</v>
      </c>
    </row>
    <row r="229" spans="1:16" s="109" customFormat="1" ht="15">
      <c r="A229" s="222">
        <v>41456</v>
      </c>
      <c r="B229" s="91" t="s">
        <v>968</v>
      </c>
      <c r="C229" s="91" t="s">
        <v>968</v>
      </c>
      <c r="D229" s="91" t="s">
        <v>434</v>
      </c>
      <c r="E229" s="1" t="s">
        <v>461</v>
      </c>
      <c r="F229" s="91" t="s">
        <v>544</v>
      </c>
      <c r="G229" s="91">
        <v>1</v>
      </c>
      <c r="H229" s="91"/>
      <c r="I229" s="91"/>
      <c r="J229" s="91"/>
      <c r="K229" s="91"/>
      <c r="L229" s="91"/>
      <c r="M229" s="91">
        <v>12</v>
      </c>
      <c r="N229" s="91">
        <v>12</v>
      </c>
      <c r="O229" s="91"/>
      <c r="P229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12</v>
      </c>
    </row>
    <row r="230" spans="1:16" s="109" customFormat="1" ht="15">
      <c r="A230" s="222">
        <v>41456</v>
      </c>
      <c r="B230" s="91" t="s">
        <v>1174</v>
      </c>
      <c r="C230" s="91" t="s">
        <v>1174</v>
      </c>
      <c r="D230" s="91" t="s">
        <v>434</v>
      </c>
      <c r="E230" s="1" t="s">
        <v>461</v>
      </c>
      <c r="F230" s="91" t="s">
        <v>544</v>
      </c>
      <c r="G230" s="91">
        <v>1</v>
      </c>
      <c r="H230" s="91"/>
      <c r="I230" s="91"/>
      <c r="J230" s="91"/>
      <c r="K230" s="91"/>
      <c r="L230" s="91"/>
      <c r="M230" s="91">
        <v>103</v>
      </c>
      <c r="N230" s="91"/>
      <c r="O230" s="91">
        <v>60</v>
      </c>
      <c r="P230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60</v>
      </c>
    </row>
    <row r="231" spans="1:16" s="109" customFormat="1" ht="15">
      <c r="A231" s="222">
        <v>41456</v>
      </c>
      <c r="B231" s="91" t="s">
        <v>968</v>
      </c>
      <c r="C231" s="91" t="s">
        <v>968</v>
      </c>
      <c r="D231" s="91" t="s">
        <v>434</v>
      </c>
      <c r="E231" s="1" t="s">
        <v>461</v>
      </c>
      <c r="F231" s="91" t="s">
        <v>545</v>
      </c>
      <c r="G231" s="91">
        <v>1</v>
      </c>
      <c r="H231" s="91"/>
      <c r="I231" s="91"/>
      <c r="J231" s="91"/>
      <c r="K231" s="91"/>
      <c r="L231" s="91"/>
      <c r="M231" s="91">
        <v>36</v>
      </c>
      <c r="N231" s="91">
        <v>36</v>
      </c>
      <c r="O231" s="91"/>
      <c r="P231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36</v>
      </c>
    </row>
    <row r="232" spans="1:16" s="109" customFormat="1" ht="15">
      <c r="A232" s="222">
        <v>41456</v>
      </c>
      <c r="B232" s="91" t="s">
        <v>960</v>
      </c>
      <c r="C232" s="91" t="s">
        <v>960</v>
      </c>
      <c r="D232" s="91" t="s">
        <v>434</v>
      </c>
      <c r="E232" s="1" t="s">
        <v>461</v>
      </c>
      <c r="F232" s="91" t="s">
        <v>545</v>
      </c>
      <c r="G232" s="91">
        <v>1</v>
      </c>
      <c r="H232" s="91"/>
      <c r="I232" s="91"/>
      <c r="J232" s="91"/>
      <c r="K232" s="91"/>
      <c r="L232" s="91"/>
      <c r="M232" s="91">
        <v>36</v>
      </c>
      <c r="N232" s="91">
        <v>36</v>
      </c>
      <c r="O232" s="91"/>
      <c r="P232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36</v>
      </c>
    </row>
    <row r="233" spans="1:16" s="109" customFormat="1" ht="15">
      <c r="A233" s="222">
        <v>41456</v>
      </c>
      <c r="B233" s="91" t="s">
        <v>968</v>
      </c>
      <c r="C233" s="91" t="s">
        <v>968</v>
      </c>
      <c r="D233" s="91" t="s">
        <v>434</v>
      </c>
      <c r="E233" s="1" t="s">
        <v>461</v>
      </c>
      <c r="F233" s="91" t="s">
        <v>546</v>
      </c>
      <c r="G233" s="91">
        <v>1</v>
      </c>
      <c r="H233" s="91"/>
      <c r="I233" s="91"/>
      <c r="J233" s="91"/>
      <c r="K233" s="91"/>
      <c r="L233" s="91"/>
      <c r="M233" s="91">
        <v>10</v>
      </c>
      <c r="N233" s="91">
        <v>10</v>
      </c>
      <c r="O233" s="91"/>
      <c r="P233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10</v>
      </c>
    </row>
    <row r="234" spans="1:16" s="109" customFormat="1" ht="15">
      <c r="A234" s="222">
        <v>41456</v>
      </c>
      <c r="B234" s="91" t="s">
        <v>960</v>
      </c>
      <c r="C234" s="91" t="s">
        <v>960</v>
      </c>
      <c r="D234" s="91" t="s">
        <v>434</v>
      </c>
      <c r="E234" s="1" t="s">
        <v>461</v>
      </c>
      <c r="F234" s="91" t="s">
        <v>546</v>
      </c>
      <c r="G234" s="91">
        <v>1</v>
      </c>
      <c r="H234" s="91"/>
      <c r="I234" s="91"/>
      <c r="J234" s="91"/>
      <c r="K234" s="91"/>
      <c r="L234" s="91"/>
      <c r="M234" s="91">
        <v>27</v>
      </c>
      <c r="N234" s="91"/>
      <c r="O234" s="91">
        <v>27</v>
      </c>
      <c r="P234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27</v>
      </c>
    </row>
    <row r="235" spans="1:16" s="109" customFormat="1" ht="15">
      <c r="A235" s="222">
        <v>41456</v>
      </c>
      <c r="B235" s="91" t="s">
        <v>968</v>
      </c>
      <c r="C235" s="91" t="s">
        <v>968</v>
      </c>
      <c r="D235" s="91" t="s">
        <v>434</v>
      </c>
      <c r="E235" s="1" t="s">
        <v>461</v>
      </c>
      <c r="F235" s="91" t="s">
        <v>547</v>
      </c>
      <c r="G235" s="91">
        <v>1</v>
      </c>
      <c r="H235" s="91"/>
      <c r="I235" s="91"/>
      <c r="J235" s="91"/>
      <c r="K235" s="91"/>
      <c r="L235" s="91"/>
      <c r="M235" s="91">
        <v>25</v>
      </c>
      <c r="N235" s="91"/>
      <c r="O235" s="91">
        <v>25</v>
      </c>
      <c r="P235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25</v>
      </c>
    </row>
    <row r="236" spans="1:16" s="109" customFormat="1" ht="15">
      <c r="A236" s="222">
        <v>41456</v>
      </c>
      <c r="B236" s="91" t="s">
        <v>968</v>
      </c>
      <c r="C236" s="91" t="s">
        <v>968</v>
      </c>
      <c r="D236" s="91" t="s">
        <v>434</v>
      </c>
      <c r="E236" s="1" t="s">
        <v>461</v>
      </c>
      <c r="F236" s="91" t="s">
        <v>548</v>
      </c>
      <c r="G236" s="91">
        <v>1</v>
      </c>
      <c r="H236" s="91"/>
      <c r="I236" s="91"/>
      <c r="J236" s="91"/>
      <c r="K236" s="91"/>
      <c r="L236" s="91"/>
      <c r="M236" s="91">
        <v>10</v>
      </c>
      <c r="N236" s="91">
        <v>10</v>
      </c>
      <c r="O236" s="91"/>
      <c r="P236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10</v>
      </c>
    </row>
    <row r="237" spans="1:16" s="109" customFormat="1" ht="15">
      <c r="A237" s="222">
        <v>41456</v>
      </c>
      <c r="B237" s="91" t="s">
        <v>960</v>
      </c>
      <c r="C237" s="91" t="s">
        <v>960</v>
      </c>
      <c r="D237" s="91" t="s">
        <v>434</v>
      </c>
      <c r="E237" s="1" t="s">
        <v>461</v>
      </c>
      <c r="F237" s="91" t="s">
        <v>548</v>
      </c>
      <c r="G237" s="91">
        <v>1</v>
      </c>
      <c r="H237" s="91"/>
      <c r="I237" s="91"/>
      <c r="J237" s="91"/>
      <c r="K237" s="91"/>
      <c r="L237" s="91"/>
      <c r="M237" s="91">
        <v>21</v>
      </c>
      <c r="N237" s="91"/>
      <c r="O237" s="91">
        <v>21</v>
      </c>
      <c r="P237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21</v>
      </c>
    </row>
    <row r="238" spans="1:16" s="109" customFormat="1" ht="15">
      <c r="A238" s="222">
        <v>41456</v>
      </c>
      <c r="B238" s="91" t="s">
        <v>968</v>
      </c>
      <c r="C238" s="91" t="s">
        <v>968</v>
      </c>
      <c r="D238" s="91" t="s">
        <v>434</v>
      </c>
      <c r="E238" s="1" t="s">
        <v>461</v>
      </c>
      <c r="F238" s="45" t="s">
        <v>1238</v>
      </c>
      <c r="G238" s="91">
        <v>1</v>
      </c>
      <c r="H238" s="91"/>
      <c r="I238" s="91"/>
      <c r="J238" s="91"/>
      <c r="K238" s="91"/>
      <c r="L238" s="91"/>
      <c r="M238" s="91">
        <v>15</v>
      </c>
      <c r="N238" s="91">
        <v>15</v>
      </c>
      <c r="O238" s="91"/>
      <c r="P238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15</v>
      </c>
    </row>
    <row r="239" spans="1:16" s="109" customFormat="1" ht="15">
      <c r="A239" s="222">
        <v>41456</v>
      </c>
      <c r="B239" s="91" t="s">
        <v>960</v>
      </c>
      <c r="C239" s="91" t="s">
        <v>960</v>
      </c>
      <c r="D239" s="91" t="s">
        <v>434</v>
      </c>
      <c r="E239" s="1" t="s">
        <v>461</v>
      </c>
      <c r="F239" s="45" t="s">
        <v>1238</v>
      </c>
      <c r="G239" s="91">
        <v>1</v>
      </c>
      <c r="H239" s="91"/>
      <c r="I239" s="91"/>
      <c r="J239" s="91"/>
      <c r="K239" s="91"/>
      <c r="L239" s="91"/>
      <c r="M239" s="91">
        <v>11</v>
      </c>
      <c r="N239" s="91"/>
      <c r="O239" s="91"/>
      <c r="P239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0</v>
      </c>
    </row>
    <row r="240" spans="1:16" s="109" customFormat="1" ht="15">
      <c r="A240" s="222">
        <v>41456</v>
      </c>
      <c r="B240" s="91" t="s">
        <v>960</v>
      </c>
      <c r="C240" s="91" t="s">
        <v>960</v>
      </c>
      <c r="D240" s="91" t="s">
        <v>434</v>
      </c>
      <c r="E240" s="1" t="s">
        <v>454</v>
      </c>
      <c r="F240" s="91" t="s">
        <v>481</v>
      </c>
      <c r="G240" s="91">
        <v>8</v>
      </c>
      <c r="H240" s="91"/>
      <c r="I240" s="91"/>
      <c r="J240" s="91">
        <v>89</v>
      </c>
      <c r="K240" s="91">
        <v>70</v>
      </c>
      <c r="L240" s="91">
        <v>13</v>
      </c>
      <c r="M240" s="91"/>
      <c r="N240" s="91"/>
      <c r="O240" s="91"/>
      <c r="P240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664</v>
      </c>
    </row>
    <row r="241" spans="1:16" s="109" customFormat="1" ht="15">
      <c r="A241" s="222">
        <v>41456</v>
      </c>
      <c r="B241" s="91" t="s">
        <v>960</v>
      </c>
      <c r="C241" s="91" t="s">
        <v>960</v>
      </c>
      <c r="D241" s="91" t="s">
        <v>434</v>
      </c>
      <c r="E241" s="1" t="s">
        <v>454</v>
      </c>
      <c r="F241" s="91" t="s">
        <v>480</v>
      </c>
      <c r="G241" s="91">
        <v>8</v>
      </c>
      <c r="H241" s="91"/>
      <c r="I241" s="91"/>
      <c r="J241" s="91">
        <v>6</v>
      </c>
      <c r="K241" s="91">
        <v>6</v>
      </c>
      <c r="L241" s="91">
        <v>0</v>
      </c>
      <c r="M241" s="91"/>
      <c r="N241" s="91"/>
      <c r="O241" s="91"/>
      <c r="P241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48</v>
      </c>
    </row>
    <row r="242" spans="1:16" s="109" customFormat="1" ht="15">
      <c r="A242" s="222">
        <v>41456</v>
      </c>
      <c r="B242" s="91" t="s">
        <v>968</v>
      </c>
      <c r="C242" s="91" t="s">
        <v>968</v>
      </c>
      <c r="D242" s="91" t="s">
        <v>434</v>
      </c>
      <c r="E242" s="1" t="s">
        <v>452</v>
      </c>
      <c r="F242" s="91" t="s">
        <v>472</v>
      </c>
      <c r="G242" s="91">
        <v>8</v>
      </c>
      <c r="H242" s="91"/>
      <c r="I242" s="91"/>
      <c r="J242" s="91">
        <v>20</v>
      </c>
      <c r="K242" s="91">
        <v>19</v>
      </c>
      <c r="L242" s="91">
        <v>1</v>
      </c>
      <c r="M242" s="91"/>
      <c r="N242" s="91"/>
      <c r="O242" s="91"/>
      <c r="P242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160</v>
      </c>
    </row>
    <row r="243" spans="1:16" s="109" customFormat="1" ht="15">
      <c r="A243" s="222">
        <v>41456</v>
      </c>
      <c r="B243" s="91" t="s">
        <v>968</v>
      </c>
      <c r="C243" s="91" t="s">
        <v>968</v>
      </c>
      <c r="D243" s="91" t="s">
        <v>434</v>
      </c>
      <c r="E243" s="1" t="s">
        <v>452</v>
      </c>
      <c r="F243" s="91" t="s">
        <v>468</v>
      </c>
      <c r="G243" s="91">
        <v>8</v>
      </c>
      <c r="H243" s="91"/>
      <c r="I243" s="91"/>
      <c r="J243" s="91">
        <v>2</v>
      </c>
      <c r="K243" s="91"/>
      <c r="L243" s="91">
        <v>2</v>
      </c>
      <c r="M243" s="91"/>
      <c r="N243" s="91"/>
      <c r="O243" s="91"/>
      <c r="P243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16</v>
      </c>
    </row>
    <row r="244" spans="1:16" s="307" customFormat="1" ht="15">
      <c r="A244" s="222">
        <v>41456</v>
      </c>
      <c r="B244" s="91" t="s">
        <v>968</v>
      </c>
      <c r="C244" s="91" t="s">
        <v>968</v>
      </c>
      <c r="D244" s="91" t="s">
        <v>434</v>
      </c>
      <c r="E244" s="1" t="s">
        <v>452</v>
      </c>
      <c r="F244" s="91" t="s">
        <v>475</v>
      </c>
      <c r="G244" s="91">
        <v>8</v>
      </c>
      <c r="H244" s="91"/>
      <c r="I244" s="91"/>
      <c r="J244" s="91">
        <v>28</v>
      </c>
      <c r="K244" s="91"/>
      <c r="L244" s="91">
        <v>17</v>
      </c>
      <c r="M244" s="91"/>
      <c r="N244" s="91"/>
      <c r="O244" s="91"/>
      <c r="P244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136</v>
      </c>
    </row>
    <row r="245" spans="1:16" s="307" customFormat="1" ht="15">
      <c r="A245" s="222">
        <v>41456</v>
      </c>
      <c r="B245" s="91" t="s">
        <v>968</v>
      </c>
      <c r="C245" s="91" t="s">
        <v>968</v>
      </c>
      <c r="D245" s="91" t="s">
        <v>434</v>
      </c>
      <c r="E245" s="1" t="s">
        <v>452</v>
      </c>
      <c r="F245" s="91" t="s">
        <v>470</v>
      </c>
      <c r="G245" s="91">
        <v>8</v>
      </c>
      <c r="H245" s="91"/>
      <c r="I245" s="91"/>
      <c r="J245" s="91">
        <v>10</v>
      </c>
      <c r="K245" s="91"/>
      <c r="L245" s="91">
        <v>10</v>
      </c>
      <c r="M245" s="91"/>
      <c r="N245" s="91"/>
      <c r="O245" s="91"/>
      <c r="P245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80</v>
      </c>
    </row>
    <row r="246" spans="1:16" s="307" customFormat="1" ht="15">
      <c r="A246" s="222">
        <v>41456</v>
      </c>
      <c r="B246" s="91" t="s">
        <v>968</v>
      </c>
      <c r="C246" s="91" t="s">
        <v>968</v>
      </c>
      <c r="D246" s="91" t="s">
        <v>434</v>
      </c>
      <c r="E246" s="1" t="s">
        <v>452</v>
      </c>
      <c r="F246" s="91" t="s">
        <v>473</v>
      </c>
      <c r="G246" s="91">
        <v>8</v>
      </c>
      <c r="H246" s="91"/>
      <c r="I246" s="91"/>
      <c r="J246" s="91">
        <v>10</v>
      </c>
      <c r="K246" s="91"/>
      <c r="L246" s="91">
        <v>10</v>
      </c>
      <c r="M246" s="91"/>
      <c r="N246" s="91"/>
      <c r="O246" s="91"/>
      <c r="P246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80</v>
      </c>
    </row>
    <row r="247" spans="1:16" s="307" customFormat="1" ht="15">
      <c r="A247" s="222">
        <v>41456</v>
      </c>
      <c r="B247" s="91" t="s">
        <v>968</v>
      </c>
      <c r="C247" s="91" t="s">
        <v>968</v>
      </c>
      <c r="D247" s="91" t="s">
        <v>434</v>
      </c>
      <c r="E247" s="1" t="s">
        <v>452</v>
      </c>
      <c r="F247" s="91" t="s">
        <v>469</v>
      </c>
      <c r="G247" s="91">
        <v>8</v>
      </c>
      <c r="H247" s="91"/>
      <c r="I247" s="91"/>
      <c r="J247" s="91">
        <v>14</v>
      </c>
      <c r="K247" s="91">
        <v>2</v>
      </c>
      <c r="L247" s="91">
        <v>12</v>
      </c>
      <c r="M247" s="91"/>
      <c r="N247" s="91"/>
      <c r="O247" s="91"/>
      <c r="P247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112</v>
      </c>
    </row>
    <row r="248" spans="1:16" s="307" customFormat="1" ht="15">
      <c r="A248" s="222">
        <v>41456</v>
      </c>
      <c r="B248" s="91" t="s">
        <v>968</v>
      </c>
      <c r="C248" s="91" t="s">
        <v>968</v>
      </c>
      <c r="D248" s="91" t="s">
        <v>434</v>
      </c>
      <c r="E248" s="1" t="s">
        <v>453</v>
      </c>
      <c r="F248" s="91" t="s">
        <v>477</v>
      </c>
      <c r="G248" s="91">
        <v>8</v>
      </c>
      <c r="H248" s="91"/>
      <c r="I248" s="91"/>
      <c r="J248" s="91">
        <v>46</v>
      </c>
      <c r="K248" s="91">
        <v>0</v>
      </c>
      <c r="L248" s="91">
        <v>13</v>
      </c>
      <c r="M248" s="91"/>
      <c r="N248" s="91"/>
      <c r="O248" s="91"/>
      <c r="P248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104</v>
      </c>
    </row>
    <row r="249" spans="1:16" s="307" customFormat="1" ht="15">
      <c r="A249" s="222">
        <v>41456</v>
      </c>
      <c r="B249" s="91" t="s">
        <v>968</v>
      </c>
      <c r="C249" s="91" t="s">
        <v>968</v>
      </c>
      <c r="D249" s="91" t="s">
        <v>434</v>
      </c>
      <c r="E249" s="1" t="s">
        <v>453</v>
      </c>
      <c r="F249" s="91" t="s">
        <v>476</v>
      </c>
      <c r="G249" s="91">
        <v>8</v>
      </c>
      <c r="H249" s="91"/>
      <c r="I249" s="91"/>
      <c r="J249" s="91">
        <v>26</v>
      </c>
      <c r="K249" s="91">
        <v>9</v>
      </c>
      <c r="L249" s="91">
        <v>17</v>
      </c>
      <c r="M249" s="91"/>
      <c r="N249" s="91"/>
      <c r="O249" s="91"/>
      <c r="P249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208</v>
      </c>
    </row>
    <row r="250" spans="1:16" s="307" customFormat="1" ht="15">
      <c r="A250" s="222">
        <v>41456</v>
      </c>
      <c r="B250" s="91" t="s">
        <v>960</v>
      </c>
      <c r="C250" s="91" t="s">
        <v>960</v>
      </c>
      <c r="D250" s="91" t="s">
        <v>434</v>
      </c>
      <c r="E250" s="1" t="s">
        <v>455</v>
      </c>
      <c r="F250" s="91" t="s">
        <v>485</v>
      </c>
      <c r="G250" s="91">
        <v>8</v>
      </c>
      <c r="H250" s="91"/>
      <c r="I250" s="91"/>
      <c r="J250" s="91">
        <v>98</v>
      </c>
      <c r="K250" s="91">
        <v>15</v>
      </c>
      <c r="L250" s="91">
        <v>50</v>
      </c>
      <c r="M250" s="91"/>
      <c r="N250" s="91"/>
      <c r="O250" s="91"/>
      <c r="P250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520</v>
      </c>
    </row>
    <row r="251" spans="1:16" s="307" customFormat="1" ht="15">
      <c r="A251" s="222">
        <v>41456</v>
      </c>
      <c r="B251" s="91" t="s">
        <v>968</v>
      </c>
      <c r="C251" s="91" t="s">
        <v>968</v>
      </c>
      <c r="D251" s="91" t="s">
        <v>434</v>
      </c>
      <c r="E251" s="1" t="s">
        <v>455</v>
      </c>
      <c r="F251" s="91" t="s">
        <v>485</v>
      </c>
      <c r="G251" s="91">
        <v>8</v>
      </c>
      <c r="H251" s="91"/>
      <c r="I251" s="91"/>
      <c r="J251" s="91">
        <v>13</v>
      </c>
      <c r="K251" s="91">
        <v>0</v>
      </c>
      <c r="L251" s="45">
        <v>13</v>
      </c>
      <c r="M251" s="91"/>
      <c r="N251" s="91"/>
      <c r="O251" s="91"/>
      <c r="P251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104</v>
      </c>
    </row>
    <row r="252" spans="1:16" s="307" customFormat="1" ht="15">
      <c r="A252" s="222">
        <v>41456</v>
      </c>
      <c r="B252" s="91" t="s">
        <v>960</v>
      </c>
      <c r="C252" s="91" t="s">
        <v>960</v>
      </c>
      <c r="D252" s="91" t="s">
        <v>434</v>
      </c>
      <c r="E252" s="1" t="s">
        <v>455</v>
      </c>
      <c r="F252" s="91" t="s">
        <v>484</v>
      </c>
      <c r="G252" s="91">
        <v>8</v>
      </c>
      <c r="H252" s="91"/>
      <c r="I252" s="91"/>
      <c r="J252" s="91">
        <v>169</v>
      </c>
      <c r="K252" s="91">
        <v>30</v>
      </c>
      <c r="L252" s="91">
        <v>71</v>
      </c>
      <c r="M252" s="91"/>
      <c r="N252" s="91"/>
      <c r="O252" s="91"/>
      <c r="P252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808</v>
      </c>
    </row>
    <row r="253" spans="1:16" s="307" customFormat="1" ht="15">
      <c r="A253" s="222">
        <v>41456</v>
      </c>
      <c r="B253" s="91" t="s">
        <v>963</v>
      </c>
      <c r="C253" s="91" t="s">
        <v>963</v>
      </c>
      <c r="D253" s="91" t="s">
        <v>434</v>
      </c>
      <c r="E253" s="1" t="s">
        <v>455</v>
      </c>
      <c r="F253" s="91" t="s">
        <v>483</v>
      </c>
      <c r="G253" s="91">
        <v>8</v>
      </c>
      <c r="H253" s="91"/>
      <c r="I253" s="91"/>
      <c r="J253" s="91">
        <v>96</v>
      </c>
      <c r="K253" s="91">
        <v>0</v>
      </c>
      <c r="L253" s="91">
        <v>56</v>
      </c>
      <c r="M253" s="91"/>
      <c r="N253" s="91"/>
      <c r="O253" s="91"/>
      <c r="P253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448</v>
      </c>
    </row>
    <row r="254" spans="1:16" s="307" customFormat="1" ht="15">
      <c r="A254" s="222">
        <v>41456</v>
      </c>
      <c r="B254" s="91" t="s">
        <v>963</v>
      </c>
      <c r="C254" s="91" t="s">
        <v>963</v>
      </c>
      <c r="D254" s="91" t="s">
        <v>434</v>
      </c>
      <c r="E254" s="1" t="s">
        <v>455</v>
      </c>
      <c r="F254" s="91" t="s">
        <v>486</v>
      </c>
      <c r="G254" s="91">
        <v>8</v>
      </c>
      <c r="H254" s="91"/>
      <c r="I254" s="91"/>
      <c r="J254" s="91">
        <v>106</v>
      </c>
      <c r="K254" s="91">
        <v>0</v>
      </c>
      <c r="L254" s="91">
        <v>78</v>
      </c>
      <c r="M254" s="91"/>
      <c r="N254" s="91"/>
      <c r="O254" s="91"/>
      <c r="P254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624</v>
      </c>
    </row>
    <row r="255" spans="1:16" s="307" customFormat="1" ht="15">
      <c r="A255" s="222">
        <v>41456</v>
      </c>
      <c r="B255" s="91" t="s">
        <v>968</v>
      </c>
      <c r="C255" s="91" t="s">
        <v>968</v>
      </c>
      <c r="D255" s="91" t="s">
        <v>434</v>
      </c>
      <c r="E255" s="1" t="s">
        <v>455</v>
      </c>
      <c r="F255" s="91" t="s">
        <v>482</v>
      </c>
      <c r="G255" s="91">
        <v>10</v>
      </c>
      <c r="H255" s="91"/>
      <c r="I255" s="91"/>
      <c r="J255" s="91">
        <v>3</v>
      </c>
      <c r="K255" s="91">
        <v>3</v>
      </c>
      <c r="L255" s="91"/>
      <c r="M255" s="91"/>
      <c r="N255" s="91"/>
      <c r="O255" s="91"/>
      <c r="P255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30</v>
      </c>
    </row>
    <row r="256" spans="1:16" s="307" customFormat="1" ht="15">
      <c r="A256" s="222">
        <v>41456</v>
      </c>
      <c r="B256" s="91" t="s">
        <v>968</v>
      </c>
      <c r="C256" s="91" t="s">
        <v>968</v>
      </c>
      <c r="D256" s="91" t="s">
        <v>434</v>
      </c>
      <c r="E256" s="1" t="s">
        <v>459</v>
      </c>
      <c r="F256" s="91" t="s">
        <v>505</v>
      </c>
      <c r="G256" s="91">
        <v>8</v>
      </c>
      <c r="H256" s="91"/>
      <c r="I256" s="91"/>
      <c r="J256" s="91">
        <v>12</v>
      </c>
      <c r="K256" s="91">
        <v>12</v>
      </c>
      <c r="L256" s="91"/>
      <c r="M256" s="91"/>
      <c r="N256" s="91"/>
      <c r="O256" s="91"/>
      <c r="P256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96</v>
      </c>
    </row>
    <row r="257" spans="1:16" s="307" customFormat="1" ht="15">
      <c r="A257" s="222">
        <v>41456</v>
      </c>
      <c r="B257" s="91" t="s">
        <v>968</v>
      </c>
      <c r="C257" s="91" t="s">
        <v>968</v>
      </c>
      <c r="D257" s="91" t="s">
        <v>434</v>
      </c>
      <c r="E257" s="1" t="s">
        <v>457</v>
      </c>
      <c r="F257" s="91" t="s">
        <v>498</v>
      </c>
      <c r="G257" s="91">
        <v>8</v>
      </c>
      <c r="H257" s="91"/>
      <c r="I257" s="91"/>
      <c r="J257" s="91">
        <v>7</v>
      </c>
      <c r="K257" s="91">
        <v>7</v>
      </c>
      <c r="L257" s="91"/>
      <c r="M257" s="91"/>
      <c r="N257" s="91"/>
      <c r="O257" s="91"/>
      <c r="P257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56</v>
      </c>
    </row>
    <row r="258" spans="1:16" s="307" customFormat="1" ht="15">
      <c r="A258" s="222">
        <v>41456</v>
      </c>
      <c r="B258" s="91" t="s">
        <v>968</v>
      </c>
      <c r="C258" s="91" t="s">
        <v>968</v>
      </c>
      <c r="D258" s="91" t="s">
        <v>434</v>
      </c>
      <c r="E258" s="1" t="s">
        <v>457</v>
      </c>
      <c r="F258" s="91" t="s">
        <v>499</v>
      </c>
      <c r="G258" s="91">
        <v>8</v>
      </c>
      <c r="H258" s="91"/>
      <c r="I258" s="91"/>
      <c r="J258" s="91">
        <v>4</v>
      </c>
      <c r="K258" s="91">
        <v>4</v>
      </c>
      <c r="L258" s="91"/>
      <c r="M258" s="91"/>
      <c r="N258" s="91"/>
      <c r="O258" s="91"/>
      <c r="P258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32</v>
      </c>
    </row>
    <row r="259" spans="1:16" s="307" customFormat="1" ht="15">
      <c r="A259" s="222">
        <v>41456</v>
      </c>
      <c r="B259" s="91" t="s">
        <v>968</v>
      </c>
      <c r="C259" s="91" t="s">
        <v>968</v>
      </c>
      <c r="D259" s="91" t="s">
        <v>434</v>
      </c>
      <c r="E259" s="1" t="s">
        <v>457</v>
      </c>
      <c r="F259" s="91" t="s">
        <v>500</v>
      </c>
      <c r="G259" s="91">
        <v>8</v>
      </c>
      <c r="H259" s="91"/>
      <c r="I259" s="91"/>
      <c r="J259" s="91">
        <v>53</v>
      </c>
      <c r="K259" s="91">
        <v>50</v>
      </c>
      <c r="L259" s="91">
        <v>3</v>
      </c>
      <c r="M259" s="91"/>
      <c r="N259" s="91"/>
      <c r="O259" s="91"/>
      <c r="P259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424</v>
      </c>
    </row>
    <row r="260" spans="1:16" s="307" customFormat="1" ht="15">
      <c r="A260" s="222">
        <v>41456</v>
      </c>
      <c r="B260" s="91" t="s">
        <v>960</v>
      </c>
      <c r="C260" s="91" t="s">
        <v>960</v>
      </c>
      <c r="D260" s="91" t="s">
        <v>434</v>
      </c>
      <c r="E260" s="1" t="s">
        <v>457</v>
      </c>
      <c r="F260" s="91" t="s">
        <v>500</v>
      </c>
      <c r="G260" s="91"/>
      <c r="H260" s="91">
        <v>408</v>
      </c>
      <c r="I260" s="91">
        <v>414</v>
      </c>
      <c r="J260" s="91"/>
      <c r="K260" s="91"/>
      <c r="L260" s="91"/>
      <c r="M260" s="91"/>
      <c r="N260" s="91"/>
      <c r="O260" s="91"/>
      <c r="P260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0</v>
      </c>
    </row>
    <row r="261" spans="1:16" s="307" customFormat="1" ht="15">
      <c r="A261" s="222">
        <v>41456</v>
      </c>
      <c r="B261" s="91" t="s">
        <v>960</v>
      </c>
      <c r="C261" s="91" t="s">
        <v>960</v>
      </c>
      <c r="D261" s="91" t="s">
        <v>434</v>
      </c>
      <c r="E261" s="1" t="s">
        <v>457</v>
      </c>
      <c r="F261" s="91" t="s">
        <v>498</v>
      </c>
      <c r="G261" s="91"/>
      <c r="H261" s="91"/>
      <c r="I261" s="91">
        <v>2</v>
      </c>
      <c r="J261" s="91"/>
      <c r="K261" s="91"/>
      <c r="L261" s="91"/>
      <c r="M261" s="91"/>
      <c r="N261" s="91"/>
      <c r="O261" s="91"/>
      <c r="P261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0</v>
      </c>
    </row>
    <row r="262" spans="1:16" s="307" customFormat="1" ht="15">
      <c r="A262" s="222">
        <v>41456</v>
      </c>
      <c r="B262" s="91" t="s">
        <v>968</v>
      </c>
      <c r="C262" s="91" t="s">
        <v>968</v>
      </c>
      <c r="D262" s="91" t="s">
        <v>434</v>
      </c>
      <c r="E262" s="1" t="s">
        <v>460</v>
      </c>
      <c r="F262" s="91" t="s">
        <v>506</v>
      </c>
      <c r="G262" s="91">
        <v>8</v>
      </c>
      <c r="H262" s="91"/>
      <c r="I262" s="91"/>
      <c r="J262" s="91">
        <v>52</v>
      </c>
      <c r="K262" s="91">
        <v>49</v>
      </c>
      <c r="L262" s="91">
        <v>3</v>
      </c>
      <c r="M262" s="91"/>
      <c r="N262" s="91"/>
      <c r="O262" s="91"/>
      <c r="P262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416</v>
      </c>
    </row>
    <row r="263" spans="1:16" s="307" customFormat="1" ht="15">
      <c r="A263" s="222">
        <v>41456</v>
      </c>
      <c r="B263" s="91" t="s">
        <v>968</v>
      </c>
      <c r="C263" s="91" t="s">
        <v>968</v>
      </c>
      <c r="D263" s="91" t="s">
        <v>434</v>
      </c>
      <c r="E263" s="1" t="s">
        <v>460</v>
      </c>
      <c r="F263" s="45" t="s">
        <v>515</v>
      </c>
      <c r="G263" s="91">
        <v>10</v>
      </c>
      <c r="H263" s="91"/>
      <c r="I263" s="91"/>
      <c r="J263" s="91">
        <v>50</v>
      </c>
      <c r="K263" s="91">
        <v>50</v>
      </c>
      <c r="L263" s="91">
        <v>0</v>
      </c>
      <c r="M263" s="91"/>
      <c r="N263" s="91"/>
      <c r="O263" s="91"/>
      <c r="P263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500</v>
      </c>
    </row>
    <row r="264" spans="1:16" s="307" customFormat="1" ht="15">
      <c r="A264" s="222">
        <v>41456</v>
      </c>
      <c r="B264" s="91" t="s">
        <v>968</v>
      </c>
      <c r="C264" s="91" t="s">
        <v>968</v>
      </c>
      <c r="D264" s="91" t="s">
        <v>434</v>
      </c>
      <c r="E264" s="1" t="s">
        <v>460</v>
      </c>
      <c r="F264" s="91" t="s">
        <v>508</v>
      </c>
      <c r="G264" s="91">
        <v>8</v>
      </c>
      <c r="H264" s="91"/>
      <c r="I264" s="91"/>
      <c r="J264" s="91">
        <v>100</v>
      </c>
      <c r="K264" s="91">
        <v>96</v>
      </c>
      <c r="L264" s="91">
        <v>4</v>
      </c>
      <c r="M264" s="91"/>
      <c r="N264" s="91"/>
      <c r="O264" s="91"/>
      <c r="P264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800</v>
      </c>
    </row>
    <row r="265" spans="1:16" s="307" customFormat="1" ht="15">
      <c r="A265" s="222">
        <v>41456</v>
      </c>
      <c r="B265" s="91" t="s">
        <v>968</v>
      </c>
      <c r="C265" s="91" t="s">
        <v>968</v>
      </c>
      <c r="D265" s="91" t="s">
        <v>434</v>
      </c>
      <c r="E265" s="1" t="s">
        <v>460</v>
      </c>
      <c r="F265" s="91" t="s">
        <v>507</v>
      </c>
      <c r="G265" s="91">
        <v>10</v>
      </c>
      <c r="H265" s="91"/>
      <c r="I265" s="91"/>
      <c r="J265" s="45">
        <v>45</v>
      </c>
      <c r="K265" s="91">
        <v>45</v>
      </c>
      <c r="L265" s="91"/>
      <c r="M265" s="91"/>
      <c r="N265" s="91"/>
      <c r="O265" s="91"/>
      <c r="P265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450</v>
      </c>
    </row>
    <row r="266" spans="1:16" s="307" customFormat="1" ht="15">
      <c r="A266" s="222">
        <v>41456</v>
      </c>
      <c r="B266" s="91" t="s">
        <v>968</v>
      </c>
      <c r="C266" s="91" t="s">
        <v>968</v>
      </c>
      <c r="D266" s="91" t="s">
        <v>434</v>
      </c>
      <c r="E266" s="1" t="s">
        <v>460</v>
      </c>
      <c r="F266" s="91" t="s">
        <v>507</v>
      </c>
      <c r="G266" s="91">
        <v>8</v>
      </c>
      <c r="H266" s="91"/>
      <c r="I266" s="91"/>
      <c r="J266" s="45">
        <v>140</v>
      </c>
      <c r="K266" s="91">
        <v>140</v>
      </c>
      <c r="L266" s="91"/>
      <c r="M266" s="91"/>
      <c r="N266" s="91"/>
      <c r="O266" s="91"/>
      <c r="P266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1120</v>
      </c>
    </row>
    <row r="267" spans="1:16" s="307" customFormat="1" ht="15">
      <c r="A267" s="222">
        <v>41456</v>
      </c>
      <c r="B267" s="91" t="s">
        <v>972</v>
      </c>
      <c r="C267" s="91" t="s">
        <v>972</v>
      </c>
      <c r="D267" s="91" t="s">
        <v>434</v>
      </c>
      <c r="E267" s="1" t="s">
        <v>460</v>
      </c>
      <c r="F267" s="91" t="s">
        <v>507</v>
      </c>
      <c r="G267" s="91">
        <v>10</v>
      </c>
      <c r="H267" s="91"/>
      <c r="I267" s="91"/>
      <c r="J267" s="91">
        <v>40</v>
      </c>
      <c r="K267" s="91">
        <v>40</v>
      </c>
      <c r="L267" s="91"/>
      <c r="M267" s="91"/>
      <c r="N267" s="91"/>
      <c r="O267" s="91"/>
      <c r="P267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400</v>
      </c>
    </row>
    <row r="268" spans="1:16" s="307" customFormat="1" ht="15">
      <c r="A268" s="222">
        <v>41456</v>
      </c>
      <c r="B268" s="91" t="s">
        <v>971</v>
      </c>
      <c r="C268" s="91" t="s">
        <v>971</v>
      </c>
      <c r="D268" s="91" t="s">
        <v>434</v>
      </c>
      <c r="E268" s="1" t="s">
        <v>460</v>
      </c>
      <c r="F268" s="91" t="s">
        <v>507</v>
      </c>
      <c r="G268" s="91">
        <v>8</v>
      </c>
      <c r="H268" s="91"/>
      <c r="I268" s="91"/>
      <c r="J268" s="91">
        <v>32</v>
      </c>
      <c r="K268" s="91"/>
      <c r="L268" s="45">
        <v>32</v>
      </c>
      <c r="M268" s="91"/>
      <c r="N268" s="91"/>
      <c r="O268" s="91"/>
      <c r="P268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256</v>
      </c>
    </row>
    <row r="269" spans="1:16" s="307" customFormat="1" ht="15">
      <c r="A269" s="222">
        <v>41456</v>
      </c>
      <c r="B269" s="91" t="s">
        <v>968</v>
      </c>
      <c r="C269" s="91" t="s">
        <v>968</v>
      </c>
      <c r="D269" s="91" t="s">
        <v>434</v>
      </c>
      <c r="E269" s="1" t="s">
        <v>460</v>
      </c>
      <c r="F269" s="91" t="s">
        <v>516</v>
      </c>
      <c r="G269" s="91">
        <v>8</v>
      </c>
      <c r="H269" s="91"/>
      <c r="I269" s="91"/>
      <c r="J269" s="91">
        <v>25</v>
      </c>
      <c r="K269" s="91">
        <v>25</v>
      </c>
      <c r="L269" s="91"/>
      <c r="M269" s="91"/>
      <c r="N269" s="91"/>
      <c r="O269" s="91"/>
      <c r="P269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200</v>
      </c>
    </row>
    <row r="270" spans="1:16" s="307" customFormat="1" ht="15">
      <c r="A270" s="222">
        <v>41456</v>
      </c>
      <c r="B270" s="91" t="s">
        <v>968</v>
      </c>
      <c r="C270" s="91" t="s">
        <v>968</v>
      </c>
      <c r="D270" s="91" t="s">
        <v>434</v>
      </c>
      <c r="E270" s="1" t="s">
        <v>460</v>
      </c>
      <c r="F270" s="91" t="s">
        <v>509</v>
      </c>
      <c r="G270" s="91">
        <v>8</v>
      </c>
      <c r="H270" s="91"/>
      <c r="I270" s="91"/>
      <c r="J270" s="91">
        <v>50</v>
      </c>
      <c r="K270" s="91">
        <v>50</v>
      </c>
      <c r="L270" s="91"/>
      <c r="M270" s="91"/>
      <c r="N270" s="91"/>
      <c r="O270" s="91"/>
      <c r="P270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400</v>
      </c>
    </row>
    <row r="271" spans="1:16" s="307" customFormat="1" ht="15">
      <c r="A271" s="222">
        <v>41456</v>
      </c>
      <c r="B271" s="91" t="s">
        <v>960</v>
      </c>
      <c r="C271" s="91" t="s">
        <v>960</v>
      </c>
      <c r="D271" s="91" t="s">
        <v>434</v>
      </c>
      <c r="E271" s="1" t="s">
        <v>460</v>
      </c>
      <c r="F271" s="91" t="s">
        <v>510</v>
      </c>
      <c r="G271" s="91">
        <v>8</v>
      </c>
      <c r="H271" s="91"/>
      <c r="I271" s="91"/>
      <c r="J271" s="91">
        <v>150</v>
      </c>
      <c r="K271" s="91">
        <v>150</v>
      </c>
      <c r="L271" s="91"/>
      <c r="M271" s="91"/>
      <c r="N271" s="91"/>
      <c r="O271" s="91"/>
      <c r="P271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1200</v>
      </c>
    </row>
    <row r="272" spans="1:16" s="307" customFormat="1" ht="15">
      <c r="A272" s="222">
        <v>41456</v>
      </c>
      <c r="B272" s="91" t="s">
        <v>960</v>
      </c>
      <c r="C272" s="91" t="s">
        <v>960</v>
      </c>
      <c r="D272" s="91" t="s">
        <v>434</v>
      </c>
      <c r="E272" s="1" t="s">
        <v>460</v>
      </c>
      <c r="F272" s="91" t="s">
        <v>912</v>
      </c>
      <c r="G272" s="91">
        <v>8</v>
      </c>
      <c r="H272" s="91"/>
      <c r="I272" s="91"/>
      <c r="J272" s="91">
        <v>80</v>
      </c>
      <c r="K272" s="91">
        <v>80</v>
      </c>
      <c r="L272" s="91"/>
      <c r="M272" s="91"/>
      <c r="N272" s="91"/>
      <c r="O272" s="91"/>
      <c r="P272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640</v>
      </c>
    </row>
    <row r="273" spans="1:16" s="307" customFormat="1" ht="15">
      <c r="A273" s="222">
        <v>41456</v>
      </c>
      <c r="B273" s="91" t="s">
        <v>969</v>
      </c>
      <c r="C273" s="91" t="s">
        <v>969</v>
      </c>
      <c r="D273" s="91" t="s">
        <v>434</v>
      </c>
      <c r="E273" s="1" t="s">
        <v>460</v>
      </c>
      <c r="F273" s="91" t="s">
        <v>876</v>
      </c>
      <c r="G273" s="91">
        <v>8</v>
      </c>
      <c r="H273" s="91"/>
      <c r="I273" s="91"/>
      <c r="J273" s="91">
        <v>120</v>
      </c>
      <c r="K273" s="91">
        <v>45</v>
      </c>
      <c r="L273" s="45">
        <v>75</v>
      </c>
      <c r="M273" s="91"/>
      <c r="N273" s="91"/>
      <c r="O273" s="91"/>
      <c r="P273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960</v>
      </c>
    </row>
    <row r="274" spans="1:16" s="307" customFormat="1" ht="15">
      <c r="A274" s="222">
        <v>41456</v>
      </c>
      <c r="B274" s="91" t="s">
        <v>968</v>
      </c>
      <c r="C274" s="91" t="s">
        <v>968</v>
      </c>
      <c r="D274" s="91" t="s">
        <v>434</v>
      </c>
      <c r="E274" s="1" t="s">
        <v>460</v>
      </c>
      <c r="F274" s="91" t="s">
        <v>913</v>
      </c>
      <c r="G274" s="91">
        <v>8</v>
      </c>
      <c r="H274" s="91"/>
      <c r="I274" s="91"/>
      <c r="J274" s="91">
        <v>120</v>
      </c>
      <c r="K274" s="91">
        <v>120</v>
      </c>
      <c r="L274" s="91"/>
      <c r="M274" s="91"/>
      <c r="N274" s="91"/>
      <c r="O274" s="91"/>
      <c r="P274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960</v>
      </c>
    </row>
    <row r="275" spans="1:16" s="307" customFormat="1" ht="15">
      <c r="A275" s="222">
        <v>41456</v>
      </c>
      <c r="B275" s="91" t="s">
        <v>968</v>
      </c>
      <c r="C275" s="91" t="s">
        <v>968</v>
      </c>
      <c r="D275" s="91" t="s">
        <v>434</v>
      </c>
      <c r="E275" s="1" t="s">
        <v>460</v>
      </c>
      <c r="F275" s="91" t="s">
        <v>914</v>
      </c>
      <c r="G275" s="91">
        <v>8</v>
      </c>
      <c r="H275" s="91" t="s">
        <v>1173</v>
      </c>
      <c r="I275" s="91"/>
      <c r="J275" s="91">
        <v>101</v>
      </c>
      <c r="K275" s="91">
        <v>87</v>
      </c>
      <c r="L275" s="91">
        <v>14</v>
      </c>
      <c r="M275" s="91"/>
      <c r="N275" s="91"/>
      <c r="O275" s="91"/>
      <c r="P275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808</v>
      </c>
    </row>
    <row r="276" spans="1:16" s="307" customFormat="1" ht="15">
      <c r="A276" s="222">
        <v>41456</v>
      </c>
      <c r="B276" s="91" t="s">
        <v>968</v>
      </c>
      <c r="C276" s="91" t="s">
        <v>968</v>
      </c>
      <c r="D276" s="91" t="s">
        <v>434</v>
      </c>
      <c r="E276" s="1" t="s">
        <v>460</v>
      </c>
      <c r="F276" s="91" t="s">
        <v>878</v>
      </c>
      <c r="G276" s="91">
        <v>8</v>
      </c>
      <c r="H276" s="91"/>
      <c r="I276" s="91"/>
      <c r="J276" s="91">
        <v>39</v>
      </c>
      <c r="K276" s="91">
        <v>39</v>
      </c>
      <c r="L276" s="91"/>
      <c r="M276" s="91"/>
      <c r="N276" s="91"/>
      <c r="O276" s="91"/>
      <c r="P276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312</v>
      </c>
    </row>
    <row r="277" spans="1:16" s="307" customFormat="1" ht="15">
      <c r="A277" s="222">
        <v>41456</v>
      </c>
      <c r="B277" s="91" t="s">
        <v>968</v>
      </c>
      <c r="C277" s="91" t="s">
        <v>968</v>
      </c>
      <c r="D277" s="91" t="s">
        <v>434</v>
      </c>
      <c r="E277" s="1" t="s">
        <v>460</v>
      </c>
      <c r="F277" s="91" t="s">
        <v>511</v>
      </c>
      <c r="G277" s="91">
        <v>10</v>
      </c>
      <c r="H277" s="91"/>
      <c r="I277" s="91"/>
      <c r="J277" s="91">
        <v>40</v>
      </c>
      <c r="K277" s="91">
        <v>40</v>
      </c>
      <c r="L277" s="91"/>
      <c r="M277" s="91"/>
      <c r="N277" s="91"/>
      <c r="O277" s="91"/>
      <c r="P277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400</v>
      </c>
    </row>
    <row r="278" spans="1:16" s="307" customFormat="1" ht="15">
      <c r="A278" s="222">
        <v>41456</v>
      </c>
      <c r="B278" s="91" t="s">
        <v>968</v>
      </c>
      <c r="C278" s="91" t="s">
        <v>968</v>
      </c>
      <c r="D278" s="91" t="s">
        <v>434</v>
      </c>
      <c r="E278" s="1" t="s">
        <v>460</v>
      </c>
      <c r="F278" s="91" t="s">
        <v>512</v>
      </c>
      <c r="G278" s="91">
        <v>10</v>
      </c>
      <c r="H278" s="91"/>
      <c r="I278" s="91"/>
      <c r="J278" s="91">
        <v>23</v>
      </c>
      <c r="K278" s="91">
        <v>23</v>
      </c>
      <c r="L278" s="91"/>
      <c r="M278" s="91"/>
      <c r="N278" s="91"/>
      <c r="O278" s="91"/>
      <c r="P278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230</v>
      </c>
    </row>
    <row r="279" spans="1:16" s="307" customFormat="1" ht="15">
      <c r="A279" s="222">
        <v>41456</v>
      </c>
      <c r="B279" s="91" t="s">
        <v>960</v>
      </c>
      <c r="C279" s="91" t="s">
        <v>960</v>
      </c>
      <c r="D279" s="91" t="s">
        <v>434</v>
      </c>
      <c r="E279" s="1" t="s">
        <v>460</v>
      </c>
      <c r="F279" s="91" t="s">
        <v>512</v>
      </c>
      <c r="G279" s="91">
        <v>8</v>
      </c>
      <c r="H279" s="91"/>
      <c r="I279" s="91"/>
      <c r="J279" s="91">
        <v>33</v>
      </c>
      <c r="K279" s="91">
        <v>33</v>
      </c>
      <c r="L279" s="91"/>
      <c r="M279" s="91"/>
      <c r="N279" s="91"/>
      <c r="O279" s="91"/>
      <c r="P279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264</v>
      </c>
    </row>
    <row r="280" spans="1:16" s="307" customFormat="1" ht="15">
      <c r="A280" s="222">
        <v>41456</v>
      </c>
      <c r="B280" s="91" t="s">
        <v>969</v>
      </c>
      <c r="C280" s="91" t="s">
        <v>969</v>
      </c>
      <c r="D280" s="91" t="s">
        <v>434</v>
      </c>
      <c r="E280" s="1" t="s">
        <v>460</v>
      </c>
      <c r="F280" s="91" t="s">
        <v>512</v>
      </c>
      <c r="G280" s="91">
        <v>10</v>
      </c>
      <c r="H280" s="91"/>
      <c r="I280" s="91"/>
      <c r="J280" s="91">
        <v>77</v>
      </c>
      <c r="K280" s="91">
        <v>77</v>
      </c>
      <c r="L280" s="91"/>
      <c r="M280" s="91"/>
      <c r="N280" s="91"/>
      <c r="O280" s="91"/>
      <c r="P280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770</v>
      </c>
    </row>
    <row r="281" spans="1:16" s="307" customFormat="1" ht="15">
      <c r="A281" s="222">
        <v>41456</v>
      </c>
      <c r="B281" s="91" t="s">
        <v>963</v>
      </c>
      <c r="C281" s="91" t="s">
        <v>963</v>
      </c>
      <c r="D281" s="91" t="s">
        <v>434</v>
      </c>
      <c r="E281" s="1" t="s">
        <v>460</v>
      </c>
      <c r="F281" s="91" t="s">
        <v>512</v>
      </c>
      <c r="G281" s="91">
        <v>8</v>
      </c>
      <c r="H281" s="91"/>
      <c r="I281" s="91"/>
      <c r="J281" s="91">
        <v>27</v>
      </c>
      <c r="K281" s="91">
        <v>27</v>
      </c>
      <c r="L281" s="91"/>
      <c r="M281" s="91"/>
      <c r="N281" s="91"/>
      <c r="O281" s="91"/>
      <c r="P281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216</v>
      </c>
    </row>
    <row r="282" spans="1:16" s="307" customFormat="1" ht="15">
      <c r="A282" s="222">
        <v>41456</v>
      </c>
      <c r="B282" s="91" t="s">
        <v>970</v>
      </c>
      <c r="C282" s="91" t="s">
        <v>970</v>
      </c>
      <c r="D282" s="91" t="s">
        <v>434</v>
      </c>
      <c r="E282" s="1" t="s">
        <v>460</v>
      </c>
      <c r="F282" s="91" t="s">
        <v>512</v>
      </c>
      <c r="G282" s="91">
        <v>8</v>
      </c>
      <c r="H282" s="91"/>
      <c r="I282" s="91"/>
      <c r="J282" s="91">
        <v>60</v>
      </c>
      <c r="K282" s="91">
        <v>60</v>
      </c>
      <c r="L282" s="91"/>
      <c r="M282" s="91"/>
      <c r="N282" s="91"/>
      <c r="O282" s="91"/>
      <c r="P282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480</v>
      </c>
    </row>
    <row r="283" spans="1:16" s="307" customFormat="1" ht="15">
      <c r="A283" s="222">
        <v>41456</v>
      </c>
      <c r="B283" s="91" t="s">
        <v>973</v>
      </c>
      <c r="C283" s="91" t="s">
        <v>973</v>
      </c>
      <c r="D283" s="91" t="s">
        <v>434</v>
      </c>
      <c r="E283" s="1" t="s">
        <v>460</v>
      </c>
      <c r="F283" s="91" t="s">
        <v>512</v>
      </c>
      <c r="G283" s="91">
        <v>8</v>
      </c>
      <c r="H283" s="91"/>
      <c r="I283" s="91"/>
      <c r="J283" s="91">
        <v>40</v>
      </c>
      <c r="K283" s="91">
        <v>40</v>
      </c>
      <c r="L283" s="91"/>
      <c r="M283" s="91"/>
      <c r="N283" s="91"/>
      <c r="O283" s="91"/>
      <c r="P283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320</v>
      </c>
    </row>
    <row r="284" spans="1:16" s="307" customFormat="1" ht="15">
      <c r="A284" s="222">
        <v>41456</v>
      </c>
      <c r="B284" s="91" t="s">
        <v>972</v>
      </c>
      <c r="C284" s="91" t="s">
        <v>972</v>
      </c>
      <c r="D284" s="91" t="s">
        <v>434</v>
      </c>
      <c r="E284" s="1" t="s">
        <v>460</v>
      </c>
      <c r="F284" s="91" t="s">
        <v>524</v>
      </c>
      <c r="G284" s="91">
        <v>10</v>
      </c>
      <c r="H284" s="91"/>
      <c r="I284" s="91"/>
      <c r="J284" s="91">
        <v>20</v>
      </c>
      <c r="K284" s="91">
        <v>20</v>
      </c>
      <c r="L284" s="91"/>
      <c r="M284" s="91"/>
      <c r="N284" s="91"/>
      <c r="O284" s="91"/>
      <c r="P284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200</v>
      </c>
    </row>
    <row r="285" spans="1:16" s="307" customFormat="1" ht="15">
      <c r="A285" s="222">
        <v>41456</v>
      </c>
      <c r="B285" s="91" t="s">
        <v>968</v>
      </c>
      <c r="C285" s="91" t="s">
        <v>968</v>
      </c>
      <c r="D285" s="91" t="s">
        <v>434</v>
      </c>
      <c r="E285" s="1" t="s">
        <v>460</v>
      </c>
      <c r="F285" s="91" t="s">
        <v>522</v>
      </c>
      <c r="G285" s="91">
        <v>10</v>
      </c>
      <c r="H285" s="91"/>
      <c r="I285" s="91"/>
      <c r="J285" s="91">
        <v>7</v>
      </c>
      <c r="K285" s="91">
        <v>7</v>
      </c>
      <c r="L285" s="91"/>
      <c r="M285" s="91"/>
      <c r="N285" s="91"/>
      <c r="O285" s="91"/>
      <c r="P285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70</v>
      </c>
    </row>
    <row r="286" spans="1:16" s="307" customFormat="1" ht="15">
      <c r="A286" s="222">
        <v>41456</v>
      </c>
      <c r="B286" s="91" t="s">
        <v>968</v>
      </c>
      <c r="C286" s="91" t="s">
        <v>968</v>
      </c>
      <c r="D286" s="91" t="s">
        <v>434</v>
      </c>
      <c r="E286" s="1" t="s">
        <v>460</v>
      </c>
      <c r="F286" s="91" t="s">
        <v>521</v>
      </c>
      <c r="G286" s="91">
        <v>10</v>
      </c>
      <c r="H286" s="91"/>
      <c r="I286" s="91"/>
      <c r="J286" s="91">
        <v>8</v>
      </c>
      <c r="K286" s="91">
        <v>8</v>
      </c>
      <c r="L286" s="91"/>
      <c r="M286" s="91"/>
      <c r="N286" s="91"/>
      <c r="O286" s="91"/>
      <c r="P286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80</v>
      </c>
    </row>
    <row r="287" spans="1:16" s="307" customFormat="1" ht="15">
      <c r="A287" s="222">
        <v>41456</v>
      </c>
      <c r="B287" s="91" t="s">
        <v>968</v>
      </c>
      <c r="C287" s="91" t="s">
        <v>968</v>
      </c>
      <c r="D287" s="91" t="s">
        <v>434</v>
      </c>
      <c r="E287" s="1" t="s">
        <v>460</v>
      </c>
      <c r="F287" s="91" t="s">
        <v>523</v>
      </c>
      <c r="G287" s="91">
        <v>10</v>
      </c>
      <c r="H287" s="91"/>
      <c r="I287" s="91"/>
      <c r="J287" s="91">
        <v>22</v>
      </c>
      <c r="K287" s="91">
        <v>22</v>
      </c>
      <c r="L287" s="91"/>
      <c r="M287" s="91"/>
      <c r="N287" s="91"/>
      <c r="O287" s="91"/>
      <c r="P287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220</v>
      </c>
    </row>
    <row r="288" spans="1:16" s="307" customFormat="1" ht="15">
      <c r="A288" s="222">
        <v>41456</v>
      </c>
      <c r="B288" s="91" t="s">
        <v>960</v>
      </c>
      <c r="C288" s="91" t="s">
        <v>960</v>
      </c>
      <c r="D288" s="91" t="s">
        <v>434</v>
      </c>
      <c r="E288" s="1" t="s">
        <v>460</v>
      </c>
      <c r="F288" s="91" t="s">
        <v>879</v>
      </c>
      <c r="G288" s="91">
        <v>8</v>
      </c>
      <c r="H288" s="91"/>
      <c r="I288" s="91"/>
      <c r="J288" s="91">
        <v>22</v>
      </c>
      <c r="K288" s="91">
        <v>22</v>
      </c>
      <c r="L288" s="91"/>
      <c r="M288" s="91"/>
      <c r="N288" s="91"/>
      <c r="O288" s="91"/>
      <c r="P288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176</v>
      </c>
    </row>
    <row r="289" spans="1:16" s="307" customFormat="1" ht="15">
      <c r="A289" s="222">
        <v>41456</v>
      </c>
      <c r="B289" s="91" t="s">
        <v>960</v>
      </c>
      <c r="C289" s="91" t="s">
        <v>960</v>
      </c>
      <c r="D289" s="91" t="s">
        <v>434</v>
      </c>
      <c r="E289" s="1" t="s">
        <v>460</v>
      </c>
      <c r="F289" s="91" t="s">
        <v>520</v>
      </c>
      <c r="G289" s="91">
        <v>8</v>
      </c>
      <c r="H289" s="91"/>
      <c r="I289" s="91"/>
      <c r="J289" s="91">
        <v>15</v>
      </c>
      <c r="K289" s="91">
        <v>15</v>
      </c>
      <c r="L289" s="91"/>
      <c r="M289" s="91"/>
      <c r="N289" s="91"/>
      <c r="O289" s="91"/>
      <c r="P289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120</v>
      </c>
    </row>
    <row r="290" spans="1:16" s="307" customFormat="1" ht="15">
      <c r="A290" s="302">
        <v>41456</v>
      </c>
      <c r="B290" s="2" t="s">
        <v>970</v>
      </c>
      <c r="C290" s="2" t="s">
        <v>970</v>
      </c>
      <c r="D290" s="2" t="s">
        <v>434</v>
      </c>
      <c r="E290" s="3" t="s">
        <v>460</v>
      </c>
      <c r="F290" s="2"/>
      <c r="G290" s="2">
        <v>8</v>
      </c>
      <c r="H290" s="2"/>
      <c r="I290" s="2" t="s">
        <v>1057</v>
      </c>
      <c r="J290" s="2">
        <v>50</v>
      </c>
      <c r="K290" s="2"/>
      <c r="L290" s="2"/>
      <c r="M290" s="2"/>
      <c r="N290" s="2"/>
      <c r="O290" s="2"/>
      <c r="P290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0</v>
      </c>
    </row>
    <row r="291" spans="1:16" s="307" customFormat="1" ht="15">
      <c r="A291" s="302">
        <v>41456</v>
      </c>
      <c r="B291" s="2" t="s">
        <v>1174</v>
      </c>
      <c r="C291" s="2" t="s">
        <v>1174</v>
      </c>
      <c r="D291" s="2" t="s">
        <v>434</v>
      </c>
      <c r="E291" s="3" t="s">
        <v>460</v>
      </c>
      <c r="F291" s="2"/>
      <c r="G291" s="2">
        <v>8</v>
      </c>
      <c r="H291" s="2"/>
      <c r="I291" s="2"/>
      <c r="J291" s="2">
        <v>224</v>
      </c>
      <c r="K291" s="2"/>
      <c r="L291" s="2"/>
      <c r="M291" s="2"/>
      <c r="N291" s="2"/>
      <c r="O291" s="2"/>
      <c r="P291" s="189">
        <f>Table_Shelter[[#This Row],[HHperShelter]]*(Table_Shelter[[#This Row],[#ofTemporaryShelterBuilt]]+Table_Shelter[[#This Row],[#ofTemporaryShelterUnderConstruction]]+Table_Shelter[[#This Row],[#ofPermanentHouseBuilt]]+Table_Shelter[[#This Row],[#ofPermanentHouseUnderConstruction]])</f>
        <v>0</v>
      </c>
    </row>
    <row r="292" spans="1:16" ht="15">
      <c r="A292" s="222"/>
      <c r="B292" s="91"/>
      <c r="C292" s="91"/>
      <c r="D292" s="91"/>
      <c r="E292" s="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189"/>
    </row>
    <row r="293" spans="1:16" ht="15">
      <c r="A293" s="222"/>
      <c r="B293" s="91"/>
      <c r="C293" s="91"/>
      <c r="D293" s="91"/>
      <c r="E293" s="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189"/>
    </row>
    <row r="294" spans="1:16" ht="15">
      <c r="A294" s="222"/>
      <c r="B294" s="91"/>
      <c r="C294" s="91"/>
      <c r="D294" s="91"/>
      <c r="E294" s="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189"/>
    </row>
    <row r="295" spans="1:16" ht="15">
      <c r="A295" s="222"/>
      <c r="B295" s="91"/>
      <c r="C295" s="91"/>
      <c r="D295" s="91"/>
      <c r="E295" s="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189"/>
    </row>
    <row r="296" spans="1:16" ht="15">
      <c r="A296" s="222"/>
      <c r="B296" s="91"/>
      <c r="C296" s="91"/>
      <c r="D296" s="91"/>
      <c r="E296" s="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189"/>
    </row>
    <row r="297" spans="1:16" ht="15">
      <c r="A297" s="222"/>
      <c r="B297" s="91"/>
      <c r="C297" s="91"/>
      <c r="D297" s="91"/>
      <c r="E297" s="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189"/>
    </row>
    <row r="298" spans="1:16" ht="15">
      <c r="A298" s="222"/>
      <c r="B298" s="91"/>
      <c r="C298" s="91"/>
      <c r="D298" s="91"/>
      <c r="E298" s="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189"/>
    </row>
    <row r="299" spans="1:16" ht="15">
      <c r="A299" s="222"/>
      <c r="B299" s="91"/>
      <c r="C299" s="91"/>
      <c r="D299" s="91"/>
      <c r="E299" s="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189"/>
    </row>
    <row r="300" spans="1:16" ht="15">
      <c r="A300" s="222"/>
      <c r="B300" s="91"/>
      <c r="C300" s="91"/>
      <c r="D300" s="91"/>
      <c r="E300" s="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189"/>
    </row>
    <row r="301" spans="1:16" ht="15">
      <c r="A301" s="222"/>
      <c r="B301" s="91"/>
      <c r="C301" s="91"/>
      <c r="D301" s="91"/>
      <c r="E301" s="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189"/>
    </row>
    <row r="302" spans="1:16" ht="15">
      <c r="A302" s="222"/>
      <c r="B302" s="91"/>
      <c r="C302" s="91"/>
      <c r="D302" s="91"/>
      <c r="E302" s="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189"/>
    </row>
    <row r="303" spans="1:16" ht="15">
      <c r="A303" s="222"/>
      <c r="B303" s="91"/>
      <c r="C303" s="91"/>
      <c r="D303" s="91"/>
      <c r="E303" s="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189"/>
    </row>
    <row r="304" spans="1:16" ht="15">
      <c r="A304" s="222"/>
      <c r="B304" s="91"/>
      <c r="C304" s="91"/>
      <c r="D304" s="91"/>
      <c r="E304" s="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189"/>
    </row>
    <row r="305" spans="1:16" ht="15">
      <c r="A305" s="222"/>
      <c r="B305" s="91"/>
      <c r="C305" s="91"/>
      <c r="D305" s="91"/>
      <c r="E305" s="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189"/>
    </row>
    <row r="306" spans="1:16" ht="15">
      <c r="A306" s="222"/>
      <c r="B306" s="91"/>
      <c r="C306" s="91"/>
      <c r="D306" s="91"/>
      <c r="E306" s="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189"/>
    </row>
    <row r="307" spans="1:16" ht="15">
      <c r="A307" s="222"/>
      <c r="B307" s="91"/>
      <c r="C307" s="91"/>
      <c r="D307" s="91"/>
      <c r="E307" s="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189"/>
    </row>
    <row r="308" spans="1:16" ht="15">
      <c r="A308" s="222"/>
      <c r="B308" s="91"/>
      <c r="C308" s="91"/>
      <c r="D308" s="91"/>
      <c r="E308" s="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189"/>
    </row>
    <row r="309" spans="1:16" ht="15">
      <c r="A309" s="222"/>
      <c r="B309" s="91"/>
      <c r="C309" s="91"/>
      <c r="D309" s="91"/>
      <c r="E309" s="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189"/>
    </row>
    <row r="310" spans="1:16" ht="15">
      <c r="A310" s="222"/>
      <c r="B310" s="91"/>
      <c r="C310" s="91"/>
      <c r="D310" s="91"/>
      <c r="E310" s="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189"/>
    </row>
    <row r="311" spans="1:16" ht="15">
      <c r="A311" s="222"/>
      <c r="B311" s="91"/>
      <c r="C311" s="91"/>
      <c r="D311" s="91"/>
      <c r="E311" s="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189"/>
    </row>
    <row r="312" spans="1:16" ht="15">
      <c r="A312" s="222"/>
      <c r="B312" s="91"/>
      <c r="C312" s="91"/>
      <c r="D312" s="91"/>
      <c r="E312" s="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189"/>
    </row>
    <row r="313" spans="1:16" ht="15">
      <c r="A313" s="222"/>
      <c r="B313" s="91"/>
      <c r="C313" s="91"/>
      <c r="D313" s="91"/>
      <c r="E313" s="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189"/>
    </row>
    <row r="314" spans="1:16" ht="15">
      <c r="A314" s="222"/>
      <c r="B314" s="91"/>
      <c r="C314" s="91"/>
      <c r="D314" s="91"/>
      <c r="E314" s="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189"/>
    </row>
    <row r="315" spans="1:16" ht="15">
      <c r="A315" s="222"/>
      <c r="B315" s="91"/>
      <c r="C315" s="91"/>
      <c r="D315" s="91"/>
      <c r="E315" s="1"/>
      <c r="F315" s="91"/>
      <c r="G315" s="91"/>
      <c r="H315" s="91"/>
      <c r="I315" s="91"/>
      <c r="J315" s="91"/>
      <c r="K315" s="45"/>
      <c r="L315" s="91"/>
      <c r="M315" s="91"/>
      <c r="N315" s="91"/>
      <c r="O315" s="91"/>
      <c r="P315" s="189"/>
    </row>
    <row r="316" spans="1:16" ht="15">
      <c r="A316" s="222"/>
      <c r="B316" s="91"/>
      <c r="C316" s="91"/>
      <c r="D316" s="91"/>
      <c r="E316" s="1"/>
      <c r="F316" s="91"/>
      <c r="G316" s="91"/>
      <c r="H316" s="91"/>
      <c r="I316" s="91"/>
      <c r="J316" s="91"/>
      <c r="K316" s="45"/>
      <c r="L316" s="91"/>
      <c r="M316" s="91"/>
      <c r="N316" s="91"/>
      <c r="O316" s="91"/>
      <c r="P316" s="189"/>
    </row>
    <row r="317" spans="1:16" ht="15">
      <c r="A317" s="222"/>
      <c r="B317" s="91"/>
      <c r="C317" s="91"/>
      <c r="D317" s="91"/>
      <c r="E317" s="1"/>
      <c r="F317" s="91"/>
      <c r="G317" s="91"/>
      <c r="H317" s="91"/>
      <c r="I317" s="91"/>
      <c r="J317" s="91"/>
      <c r="K317" s="45"/>
      <c r="L317" s="91"/>
      <c r="M317" s="91"/>
      <c r="N317" s="91"/>
      <c r="O317" s="91"/>
      <c r="P317" s="189"/>
    </row>
    <row r="318" spans="1:16" ht="15">
      <c r="A318" s="222"/>
      <c r="B318" s="91"/>
      <c r="C318" s="91"/>
      <c r="D318" s="91"/>
      <c r="E318" s="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189"/>
    </row>
    <row r="319" spans="1:16" ht="15">
      <c r="A319" s="222"/>
      <c r="B319" s="91"/>
      <c r="C319" s="91"/>
      <c r="D319" s="91"/>
      <c r="E319" s="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189"/>
    </row>
    <row r="320" spans="1:16" ht="15">
      <c r="A320" s="222"/>
      <c r="B320" s="91"/>
      <c r="C320" s="91"/>
      <c r="D320" s="91"/>
      <c r="E320" s="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189"/>
    </row>
    <row r="321" spans="1:16" ht="15">
      <c r="A321" s="222"/>
      <c r="B321" s="91"/>
      <c r="C321" s="91"/>
      <c r="D321" s="91"/>
      <c r="E321" s="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189"/>
    </row>
    <row r="322" spans="1:16" ht="15">
      <c r="A322" s="222"/>
      <c r="B322" s="91"/>
      <c r="C322" s="91"/>
      <c r="D322" s="91"/>
      <c r="E322" s="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189"/>
    </row>
    <row r="323" spans="1:16" ht="15">
      <c r="A323" s="222"/>
      <c r="B323" s="91"/>
      <c r="C323" s="91"/>
      <c r="D323" s="2"/>
      <c r="E323" s="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189"/>
    </row>
    <row r="324" spans="1:16" ht="15">
      <c r="A324" s="222"/>
      <c r="B324" s="91"/>
      <c r="C324" s="91"/>
      <c r="D324" s="2"/>
      <c r="E324" s="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189"/>
    </row>
    <row r="325" spans="1:16" ht="15">
      <c r="A325" s="222"/>
      <c r="B325" s="91"/>
      <c r="C325" s="91"/>
      <c r="D325" s="2"/>
      <c r="E325" s="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189"/>
    </row>
    <row r="326" spans="1:16" ht="15">
      <c r="A326" s="222"/>
      <c r="B326" s="91"/>
      <c r="C326" s="91"/>
      <c r="D326" s="2"/>
      <c r="E326" s="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189"/>
    </row>
    <row r="327" spans="1:16" ht="15">
      <c r="A327" s="222"/>
      <c r="B327" s="91"/>
      <c r="C327" s="91"/>
      <c r="D327" s="2"/>
      <c r="E327" s="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189"/>
    </row>
    <row r="328" spans="1:16" ht="15">
      <c r="A328" s="222"/>
      <c r="B328" s="91"/>
      <c r="C328" s="91"/>
      <c r="D328" s="2"/>
      <c r="E328" s="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189"/>
    </row>
    <row r="329" spans="1:16" ht="15">
      <c r="A329" s="222"/>
      <c r="B329" s="91"/>
      <c r="C329" s="91"/>
      <c r="D329" s="2"/>
      <c r="E329" s="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189"/>
    </row>
    <row r="330" spans="1:16" ht="15">
      <c r="A330" s="222"/>
      <c r="B330" s="91"/>
      <c r="C330" s="91"/>
      <c r="D330" s="2"/>
      <c r="E330" s="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189"/>
    </row>
    <row r="331" spans="1:16" ht="15">
      <c r="A331" s="222"/>
      <c r="B331" s="91"/>
      <c r="C331" s="91"/>
      <c r="D331" s="2"/>
      <c r="E331" s="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189"/>
    </row>
    <row r="332" spans="1:16" ht="15">
      <c r="A332" s="222"/>
      <c r="B332" s="91"/>
      <c r="C332" s="91"/>
      <c r="D332" s="2"/>
      <c r="E332" s="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189"/>
    </row>
    <row r="333" spans="1:16" ht="15">
      <c r="A333" s="190"/>
      <c r="B333" s="160"/>
      <c r="C333" s="160"/>
      <c r="D333" s="160"/>
      <c r="E333" s="163"/>
      <c r="F333" s="160"/>
      <c r="G333" s="161"/>
      <c r="H333" s="161"/>
      <c r="I333" s="91"/>
      <c r="J333" s="91"/>
      <c r="K333" s="91"/>
      <c r="L333" s="162"/>
      <c r="M333" s="91"/>
      <c r="N333" s="91"/>
      <c r="O333" s="91"/>
      <c r="P333" s="164"/>
    </row>
    <row r="334" spans="1:16" ht="15">
      <c r="A334" s="190"/>
      <c r="B334" s="160"/>
      <c r="C334" s="160"/>
      <c r="D334" s="160"/>
      <c r="E334" s="163"/>
      <c r="F334" s="160"/>
      <c r="G334" s="161"/>
      <c r="H334" s="161"/>
      <c r="I334" s="91"/>
      <c r="J334" s="91"/>
      <c r="K334" s="91"/>
      <c r="L334" s="162"/>
      <c r="M334" s="91"/>
      <c r="N334" s="91"/>
      <c r="O334" s="91"/>
      <c r="P334" s="164"/>
    </row>
    <row r="335" spans="1:16" ht="15">
      <c r="A335" s="190"/>
      <c r="B335" s="160"/>
      <c r="C335" s="160"/>
      <c r="D335" s="160"/>
      <c r="E335" s="163"/>
      <c r="F335" s="160"/>
      <c r="G335" s="161"/>
      <c r="H335" s="161"/>
      <c r="I335" s="91"/>
      <c r="J335" s="91"/>
      <c r="K335" s="91"/>
      <c r="L335" s="162"/>
      <c r="M335" s="91"/>
      <c r="N335" s="91"/>
      <c r="O335" s="91"/>
      <c r="P335" s="164"/>
    </row>
    <row r="336" spans="1:16" ht="15">
      <c r="A336" s="190"/>
      <c r="B336" s="160"/>
      <c r="C336" s="160"/>
      <c r="D336" s="160"/>
      <c r="E336" s="163"/>
      <c r="F336" s="160"/>
      <c r="G336" s="161"/>
      <c r="H336" s="161"/>
      <c r="I336" s="91"/>
      <c r="J336" s="91"/>
      <c r="K336" s="91"/>
      <c r="L336" s="162"/>
      <c r="M336" s="91"/>
      <c r="N336" s="91"/>
      <c r="O336" s="91"/>
      <c r="P336" s="164"/>
    </row>
    <row r="337" spans="1:16" ht="15">
      <c r="A337" s="190"/>
      <c r="B337" s="160"/>
      <c r="C337" s="160"/>
      <c r="D337" s="160"/>
      <c r="E337" s="163"/>
      <c r="F337" s="160"/>
      <c r="G337" s="161"/>
      <c r="H337" s="161"/>
      <c r="I337" s="91"/>
      <c r="J337" s="91"/>
      <c r="K337" s="91"/>
      <c r="L337" s="162"/>
      <c r="M337" s="91"/>
      <c r="N337" s="91"/>
      <c r="O337" s="91"/>
      <c r="P337" s="164"/>
    </row>
    <row r="338" spans="1:16" ht="15">
      <c r="A338" s="190"/>
      <c r="B338" s="160"/>
      <c r="C338" s="160"/>
      <c r="D338" s="160"/>
      <c r="E338" s="163"/>
      <c r="F338" s="160"/>
      <c r="G338" s="161"/>
      <c r="H338" s="161"/>
      <c r="I338" s="91"/>
      <c r="J338" s="91"/>
      <c r="K338" s="91"/>
      <c r="L338" s="162"/>
      <c r="M338" s="91"/>
      <c r="N338" s="91"/>
      <c r="O338" s="91"/>
      <c r="P338" s="164"/>
    </row>
    <row r="339" spans="1:16" ht="15">
      <c r="A339" s="190"/>
      <c r="B339" s="160"/>
      <c r="C339" s="160"/>
      <c r="D339" s="160"/>
      <c r="E339" s="163"/>
      <c r="F339" s="160"/>
      <c r="G339" s="161"/>
      <c r="H339" s="161"/>
      <c r="I339" s="91"/>
      <c r="J339" s="91"/>
      <c r="K339" s="91"/>
      <c r="L339" s="162"/>
      <c r="M339" s="91"/>
      <c r="N339" s="91"/>
      <c r="O339" s="91"/>
      <c r="P339" s="164"/>
    </row>
    <row r="340" spans="1:16" ht="15">
      <c r="A340" s="190"/>
      <c r="B340" s="160"/>
      <c r="C340" s="160"/>
      <c r="D340" s="160"/>
      <c r="E340" s="163"/>
      <c r="F340" s="160"/>
      <c r="G340" s="161"/>
      <c r="H340" s="161"/>
      <c r="I340" s="91"/>
      <c r="J340" s="91"/>
      <c r="K340" s="91"/>
      <c r="L340" s="162"/>
      <c r="M340" s="91"/>
      <c r="N340" s="91"/>
      <c r="O340" s="91"/>
      <c r="P340" s="164"/>
    </row>
    <row r="341" spans="1:16" ht="15">
      <c r="A341" s="190"/>
      <c r="B341" s="160"/>
      <c r="C341" s="160"/>
      <c r="D341" s="160"/>
      <c r="E341" s="163"/>
      <c r="F341" s="160"/>
      <c r="G341" s="161"/>
      <c r="H341" s="161"/>
      <c r="I341" s="91"/>
      <c r="J341" s="91"/>
      <c r="K341" s="91"/>
      <c r="L341" s="162"/>
      <c r="M341" s="91"/>
      <c r="N341" s="91"/>
      <c r="O341" s="91"/>
      <c r="P341" s="164"/>
    </row>
    <row r="342" spans="1:16" ht="15">
      <c r="A342" s="190"/>
      <c r="B342" s="160"/>
      <c r="C342" s="160"/>
      <c r="D342" s="160"/>
      <c r="E342" s="163"/>
      <c r="F342" s="160"/>
      <c r="G342" s="161"/>
      <c r="H342" s="161"/>
      <c r="I342" s="91"/>
      <c r="J342" s="91"/>
      <c r="K342" s="91"/>
      <c r="L342" s="162"/>
      <c r="M342" s="91"/>
      <c r="N342" s="91"/>
      <c r="O342" s="91"/>
      <c r="P342" s="164"/>
    </row>
    <row r="343" spans="1:16" ht="15">
      <c r="A343" s="190"/>
      <c r="B343" s="160"/>
      <c r="C343" s="160"/>
      <c r="D343" s="160"/>
      <c r="E343" s="163"/>
      <c r="F343" s="160"/>
      <c r="G343" s="161"/>
      <c r="H343" s="161"/>
      <c r="I343" s="91"/>
      <c r="J343" s="91"/>
      <c r="K343" s="91"/>
      <c r="L343" s="162"/>
      <c r="M343" s="91"/>
      <c r="N343" s="91"/>
      <c r="O343" s="91"/>
      <c r="P343" s="164"/>
    </row>
    <row r="344" spans="1:16" ht="15">
      <c r="A344" s="190"/>
      <c r="B344" s="160"/>
      <c r="C344" s="160"/>
      <c r="D344" s="160"/>
      <c r="E344" s="163"/>
      <c r="F344" s="160"/>
      <c r="G344" s="161"/>
      <c r="H344" s="161"/>
      <c r="I344" s="91"/>
      <c r="J344" s="91"/>
      <c r="K344" s="91"/>
      <c r="L344" s="162"/>
      <c r="M344" s="91"/>
      <c r="N344" s="91"/>
      <c r="O344" s="91"/>
      <c r="P344" s="164"/>
    </row>
    <row r="345" spans="1:16" ht="15">
      <c r="A345" s="190"/>
      <c r="B345" s="160"/>
      <c r="C345" s="160"/>
      <c r="D345" s="160"/>
      <c r="E345" s="163"/>
      <c r="F345" s="160"/>
      <c r="G345" s="161"/>
      <c r="H345" s="161"/>
      <c r="I345" s="91"/>
      <c r="J345" s="91"/>
      <c r="K345" s="91"/>
      <c r="L345" s="162"/>
      <c r="M345" s="91"/>
      <c r="N345" s="91"/>
      <c r="O345" s="91"/>
      <c r="P345" s="164"/>
    </row>
    <row r="346" spans="1:16" ht="15">
      <c r="A346" s="190"/>
      <c r="B346" s="160"/>
      <c r="C346" s="160"/>
      <c r="D346" s="160"/>
      <c r="E346" s="163"/>
      <c r="F346" s="160"/>
      <c r="G346" s="161"/>
      <c r="H346" s="161"/>
      <c r="I346" s="91"/>
      <c r="J346" s="91"/>
      <c r="K346" s="91"/>
      <c r="L346" s="162"/>
      <c r="M346" s="91"/>
      <c r="N346" s="91"/>
      <c r="O346" s="91"/>
      <c r="P346" s="164"/>
    </row>
    <row r="347" spans="1:16" ht="15">
      <c r="A347" s="190"/>
      <c r="B347" s="160"/>
      <c r="C347" s="160"/>
      <c r="D347" s="160"/>
      <c r="E347" s="163"/>
      <c r="F347" s="160"/>
      <c r="G347" s="161"/>
      <c r="H347" s="161"/>
      <c r="I347" s="91"/>
      <c r="J347" s="91"/>
      <c r="K347" s="91"/>
      <c r="L347" s="162"/>
      <c r="M347" s="91"/>
      <c r="N347" s="91"/>
      <c r="O347" s="91"/>
      <c r="P347" s="164"/>
    </row>
    <row r="348" spans="1:16" ht="15">
      <c r="A348" s="190"/>
      <c r="B348" s="160"/>
      <c r="C348" s="160"/>
      <c r="D348" s="160"/>
      <c r="E348" s="163"/>
      <c r="F348" s="160"/>
      <c r="G348" s="161"/>
      <c r="H348" s="161"/>
      <c r="I348" s="91"/>
      <c r="J348" s="91"/>
      <c r="K348" s="91"/>
      <c r="L348" s="162"/>
      <c r="M348" s="91"/>
      <c r="N348" s="91"/>
      <c r="O348" s="91"/>
      <c r="P348" s="164"/>
    </row>
    <row r="349" spans="1:16" ht="15">
      <c r="A349" s="190"/>
      <c r="B349" s="160"/>
      <c r="C349" s="160"/>
      <c r="D349" s="160"/>
      <c r="E349" s="163"/>
      <c r="F349" s="160"/>
      <c r="G349" s="161"/>
      <c r="H349" s="161"/>
      <c r="I349" s="91"/>
      <c r="J349" s="91"/>
      <c r="K349" s="91"/>
      <c r="L349" s="161"/>
      <c r="M349" s="91"/>
      <c r="N349" s="91"/>
      <c r="O349" s="91"/>
      <c r="P349" s="164"/>
    </row>
    <row r="350" spans="1:16" ht="15">
      <c r="A350" s="190"/>
      <c r="B350" s="160"/>
      <c r="C350" s="160"/>
      <c r="D350" s="160"/>
      <c r="E350" s="163"/>
      <c r="F350" s="160"/>
      <c r="G350" s="161"/>
      <c r="H350" s="161"/>
      <c r="I350" s="91"/>
      <c r="J350" s="91"/>
      <c r="K350" s="91"/>
      <c r="L350" s="161"/>
      <c r="M350" s="91"/>
      <c r="N350" s="91"/>
      <c r="O350" s="91"/>
      <c r="P350" s="164"/>
    </row>
    <row r="351" spans="1:16" ht="15">
      <c r="A351" s="190"/>
      <c r="B351" s="160"/>
      <c r="C351" s="160"/>
      <c r="D351" s="160"/>
      <c r="E351" s="163"/>
      <c r="F351" s="160"/>
      <c r="G351" s="161"/>
      <c r="H351" s="161"/>
      <c r="I351" s="91"/>
      <c r="J351" s="91"/>
      <c r="K351" s="91"/>
      <c r="L351" s="161"/>
      <c r="M351" s="91"/>
      <c r="N351" s="91"/>
      <c r="O351" s="91"/>
      <c r="P351" s="164"/>
    </row>
    <row r="352" spans="1:16" ht="15">
      <c r="A352" s="190"/>
      <c r="B352" s="160"/>
      <c r="C352" s="160"/>
      <c r="D352" s="160"/>
      <c r="E352" s="163"/>
      <c r="F352" s="160"/>
      <c r="G352" s="161"/>
      <c r="H352" s="161"/>
      <c r="I352" s="91"/>
      <c r="J352" s="91"/>
      <c r="K352" s="91"/>
      <c r="L352" s="161"/>
      <c r="M352" s="91"/>
      <c r="N352" s="91"/>
      <c r="O352" s="91"/>
      <c r="P352" s="164"/>
    </row>
    <row r="353" spans="1:16" ht="15">
      <c r="A353" s="190"/>
      <c r="B353" s="160"/>
      <c r="C353" s="160"/>
      <c r="D353" s="160"/>
      <c r="E353" s="163"/>
      <c r="F353" s="160"/>
      <c r="G353" s="161"/>
      <c r="H353" s="161"/>
      <c r="I353" s="91"/>
      <c r="J353" s="91"/>
      <c r="K353" s="91"/>
      <c r="L353" s="161"/>
      <c r="M353" s="91"/>
      <c r="N353" s="91"/>
      <c r="O353" s="91"/>
      <c r="P353" s="164"/>
    </row>
    <row r="354" spans="1:16" ht="15">
      <c r="A354" s="190"/>
      <c r="B354" s="160"/>
      <c r="C354" s="160"/>
      <c r="D354" s="160"/>
      <c r="E354" s="163"/>
      <c r="F354" s="160"/>
      <c r="G354" s="161"/>
      <c r="H354" s="161"/>
      <c r="I354" s="91"/>
      <c r="J354" s="91"/>
      <c r="K354" s="91"/>
      <c r="L354" s="161"/>
      <c r="M354" s="91"/>
      <c r="N354" s="91"/>
      <c r="O354" s="91"/>
      <c r="P354" s="164"/>
    </row>
    <row r="355" spans="1:16" ht="15">
      <c r="A355" s="190"/>
      <c r="B355" s="160"/>
      <c r="C355" s="160"/>
      <c r="D355" s="160"/>
      <c r="E355" s="163"/>
      <c r="F355" s="160"/>
      <c r="G355" s="161"/>
      <c r="H355" s="161"/>
      <c r="I355" s="91"/>
      <c r="J355" s="91"/>
      <c r="K355" s="91"/>
      <c r="L355" s="161"/>
      <c r="M355" s="91"/>
      <c r="N355" s="91"/>
      <c r="O355" s="91"/>
      <c r="P355" s="164"/>
    </row>
    <row r="356" spans="1:16" ht="15">
      <c r="A356" s="190"/>
      <c r="B356" s="160"/>
      <c r="C356" s="160"/>
      <c r="D356" s="160"/>
      <c r="E356" s="163"/>
      <c r="F356" s="160"/>
      <c r="G356" s="161"/>
      <c r="H356" s="161"/>
      <c r="I356" s="91"/>
      <c r="J356" s="91"/>
      <c r="K356" s="91"/>
      <c r="L356" s="161"/>
      <c r="M356" s="91"/>
      <c r="N356" s="91"/>
      <c r="O356" s="91"/>
      <c r="P356" s="164"/>
    </row>
    <row r="357" spans="1:16" ht="15">
      <c r="A357" s="190"/>
      <c r="B357" s="160"/>
      <c r="C357" s="160"/>
      <c r="D357" s="160"/>
      <c r="E357" s="163"/>
      <c r="F357" s="160"/>
      <c r="G357" s="161"/>
      <c r="H357" s="161"/>
      <c r="I357" s="91"/>
      <c r="J357" s="91"/>
      <c r="K357" s="91"/>
      <c r="L357" s="161"/>
      <c r="M357" s="91"/>
      <c r="N357" s="91"/>
      <c r="O357" s="91"/>
      <c r="P357" s="164"/>
    </row>
    <row r="358" spans="1:16" ht="15">
      <c r="A358" s="190"/>
      <c r="B358" s="160"/>
      <c r="C358" s="160"/>
      <c r="D358" s="160"/>
      <c r="E358" s="163"/>
      <c r="F358" s="160"/>
      <c r="G358" s="161"/>
      <c r="H358" s="161"/>
      <c r="I358" s="91"/>
      <c r="J358" s="91"/>
      <c r="K358" s="91"/>
      <c r="L358" s="161"/>
      <c r="M358" s="91"/>
      <c r="N358" s="91"/>
      <c r="O358" s="91"/>
      <c r="P358" s="164"/>
    </row>
    <row r="359" spans="1:16" ht="15">
      <c r="A359" s="190"/>
      <c r="B359" s="160"/>
      <c r="C359" s="160"/>
      <c r="D359" s="160"/>
      <c r="E359" s="163"/>
      <c r="F359" s="160"/>
      <c r="G359" s="161"/>
      <c r="H359" s="161"/>
      <c r="I359" s="91"/>
      <c r="J359" s="91"/>
      <c r="K359" s="91"/>
      <c r="L359" s="161"/>
      <c r="M359" s="91"/>
      <c r="N359" s="91"/>
      <c r="O359" s="91"/>
      <c r="P359" s="164"/>
    </row>
    <row r="360" spans="1:16" ht="15">
      <c r="A360" s="190"/>
      <c r="B360" s="160"/>
      <c r="C360" s="160"/>
      <c r="D360" s="160"/>
      <c r="E360" s="163"/>
      <c r="F360" s="160"/>
      <c r="G360" s="161"/>
      <c r="H360" s="161"/>
      <c r="I360" s="91"/>
      <c r="J360" s="91"/>
      <c r="K360" s="91"/>
      <c r="L360" s="161"/>
      <c r="M360" s="91"/>
      <c r="N360" s="91"/>
      <c r="O360" s="91"/>
      <c r="P360" s="164"/>
    </row>
    <row r="361" spans="1:16" ht="15">
      <c r="A361" s="190"/>
      <c r="B361" s="160"/>
      <c r="C361" s="160"/>
      <c r="D361" s="160"/>
      <c r="E361" s="163"/>
      <c r="F361" s="160"/>
      <c r="G361" s="161"/>
      <c r="H361" s="161"/>
      <c r="I361" s="91"/>
      <c r="J361" s="91"/>
      <c r="K361" s="91"/>
      <c r="L361" s="161"/>
      <c r="M361" s="91"/>
      <c r="N361" s="91"/>
      <c r="O361" s="91"/>
      <c r="P361" s="164"/>
    </row>
    <row r="362" spans="1:16" ht="15">
      <c r="A362" s="190"/>
      <c r="B362" s="160"/>
      <c r="C362" s="160"/>
      <c r="D362" s="160"/>
      <c r="E362" s="163"/>
      <c r="F362" s="160"/>
      <c r="G362" s="161"/>
      <c r="H362" s="161"/>
      <c r="I362" s="91"/>
      <c r="J362" s="91"/>
      <c r="K362" s="91"/>
      <c r="L362" s="162"/>
      <c r="M362" s="91"/>
      <c r="N362" s="91"/>
      <c r="O362" s="91"/>
      <c r="P362" s="164"/>
    </row>
    <row r="363" spans="1:16" ht="15">
      <c r="A363" s="190"/>
      <c r="B363" s="160"/>
      <c r="C363" s="160"/>
      <c r="D363" s="160"/>
      <c r="E363" s="163"/>
      <c r="F363" s="160"/>
      <c r="G363" s="161"/>
      <c r="H363" s="161"/>
      <c r="I363" s="91"/>
      <c r="J363" s="91"/>
      <c r="K363" s="91"/>
      <c r="L363" s="162"/>
      <c r="M363" s="91"/>
      <c r="N363" s="91"/>
      <c r="O363" s="91"/>
      <c r="P363" s="164"/>
    </row>
    <row r="364" spans="1:16" ht="15">
      <c r="A364" s="158"/>
      <c r="B364" s="160"/>
      <c r="C364" s="160"/>
      <c r="D364" s="160"/>
      <c r="E364" s="163"/>
      <c r="F364" s="160"/>
      <c r="G364" s="161"/>
      <c r="H364" s="161"/>
      <c r="I364" s="91"/>
      <c r="J364" s="91"/>
      <c r="K364" s="91"/>
      <c r="L364" s="162"/>
      <c r="M364" s="91"/>
      <c r="N364" s="91"/>
      <c r="O364" s="91"/>
      <c r="P364" s="164"/>
    </row>
    <row r="365" spans="1:16" ht="15">
      <c r="A365" s="158"/>
      <c r="B365" s="160"/>
      <c r="C365" s="160"/>
      <c r="D365" s="160"/>
      <c r="E365" s="163"/>
      <c r="F365" s="160"/>
      <c r="G365" s="161"/>
      <c r="H365" s="161"/>
      <c r="I365" s="91"/>
      <c r="J365" s="91"/>
      <c r="K365" s="91"/>
      <c r="L365" s="162"/>
      <c r="M365" s="91"/>
      <c r="N365" s="91"/>
      <c r="O365" s="91"/>
      <c r="P365" s="164"/>
    </row>
    <row r="366" spans="1:16" ht="15">
      <c r="A366" s="158"/>
      <c r="B366" s="160"/>
      <c r="C366" s="160"/>
      <c r="D366" s="160"/>
      <c r="E366" s="163"/>
      <c r="F366" s="160"/>
      <c r="G366" s="161"/>
      <c r="H366" s="161"/>
      <c r="I366" s="91"/>
      <c r="J366" s="91"/>
      <c r="K366" s="91"/>
      <c r="L366" s="162"/>
      <c r="M366" s="91"/>
      <c r="N366" s="91"/>
      <c r="O366" s="91"/>
      <c r="P366" s="164"/>
    </row>
    <row r="367" spans="1:16" ht="15">
      <c r="A367" s="158"/>
      <c r="B367" s="160"/>
      <c r="C367" s="160"/>
      <c r="D367" s="160"/>
      <c r="E367" s="163"/>
      <c r="F367" s="160"/>
      <c r="G367" s="161"/>
      <c r="H367" s="161"/>
      <c r="I367" s="91"/>
      <c r="J367" s="91"/>
      <c r="K367" s="91"/>
      <c r="L367" s="162"/>
      <c r="M367" s="91"/>
      <c r="N367" s="91"/>
      <c r="O367" s="91"/>
      <c r="P367" s="164"/>
    </row>
    <row r="368" spans="1:16" ht="15">
      <c r="A368" s="158"/>
      <c r="B368" s="160"/>
      <c r="C368" s="160"/>
      <c r="D368" s="160"/>
      <c r="E368" s="163"/>
      <c r="F368" s="160"/>
      <c r="G368" s="161"/>
      <c r="H368" s="161"/>
      <c r="I368" s="91"/>
      <c r="J368" s="91"/>
      <c r="K368" s="91"/>
      <c r="L368" s="162"/>
      <c r="M368" s="91"/>
      <c r="N368" s="91"/>
      <c r="O368" s="91"/>
      <c r="P368" s="164"/>
    </row>
    <row r="369" spans="1:16" ht="15">
      <c r="A369" s="158"/>
      <c r="B369" s="160"/>
      <c r="C369" s="160"/>
      <c r="D369" s="160"/>
      <c r="E369" s="163"/>
      <c r="F369" s="160"/>
      <c r="G369" s="161"/>
      <c r="H369" s="161"/>
      <c r="I369" s="91"/>
      <c r="J369" s="91"/>
      <c r="K369" s="91"/>
      <c r="L369" s="162"/>
      <c r="M369" s="91"/>
      <c r="N369" s="91"/>
      <c r="O369" s="91"/>
      <c r="P369" s="164"/>
    </row>
    <row r="370" spans="1:16" ht="15">
      <c r="A370" s="158"/>
      <c r="B370" s="160"/>
      <c r="C370" s="160"/>
      <c r="D370" s="160"/>
      <c r="E370" s="163"/>
      <c r="F370" s="160"/>
      <c r="G370" s="161"/>
      <c r="H370" s="161"/>
      <c r="I370" s="91"/>
      <c r="J370" s="91"/>
      <c r="K370" s="91"/>
      <c r="L370" s="162"/>
      <c r="M370" s="91"/>
      <c r="N370" s="91"/>
      <c r="O370" s="91"/>
      <c r="P370" s="164"/>
    </row>
    <row r="371" spans="1:16" ht="15">
      <c r="A371" s="158"/>
      <c r="B371" s="160"/>
      <c r="C371" s="160"/>
      <c r="D371" s="160"/>
      <c r="E371" s="163"/>
      <c r="F371" s="160"/>
      <c r="G371" s="161"/>
      <c r="H371" s="161"/>
      <c r="I371" s="91"/>
      <c r="J371" s="91"/>
      <c r="K371" s="91"/>
      <c r="L371" s="162"/>
      <c r="M371" s="91"/>
      <c r="N371" s="91"/>
      <c r="O371" s="91"/>
      <c r="P371" s="164"/>
    </row>
    <row r="372" spans="1:16" ht="15">
      <c r="A372" s="158"/>
      <c r="B372" s="160"/>
      <c r="C372" s="160"/>
      <c r="D372" s="160"/>
      <c r="E372" s="163"/>
      <c r="F372" s="160"/>
      <c r="G372" s="161"/>
      <c r="H372" s="161"/>
      <c r="I372" s="91"/>
      <c r="J372" s="91"/>
      <c r="K372" s="91"/>
      <c r="L372" s="162"/>
      <c r="M372" s="91"/>
      <c r="N372" s="91"/>
      <c r="O372" s="91"/>
      <c r="P372" s="164"/>
    </row>
    <row r="373" spans="1:16" ht="15">
      <c r="A373" s="158"/>
      <c r="B373" s="160"/>
      <c r="C373" s="160"/>
      <c r="D373" s="160"/>
      <c r="E373" s="163"/>
      <c r="F373" s="160"/>
      <c r="G373" s="161"/>
      <c r="H373" s="161"/>
      <c r="I373" s="91"/>
      <c r="J373" s="91"/>
      <c r="K373" s="91"/>
      <c r="L373" s="162"/>
      <c r="M373" s="91"/>
      <c r="N373" s="91"/>
      <c r="O373" s="91"/>
      <c r="P373" s="164"/>
    </row>
    <row r="374" spans="1:16" ht="15">
      <c r="A374" s="158"/>
      <c r="B374" s="160"/>
      <c r="C374" s="160"/>
      <c r="D374" s="160"/>
      <c r="E374" s="163"/>
      <c r="F374" s="160"/>
      <c r="G374" s="161"/>
      <c r="H374" s="161"/>
      <c r="I374" s="91"/>
      <c r="J374" s="91"/>
      <c r="K374" s="91"/>
      <c r="L374" s="162"/>
      <c r="M374" s="91"/>
      <c r="N374" s="91"/>
      <c r="O374" s="91"/>
      <c r="P374" s="164"/>
    </row>
    <row r="375" spans="1:16" ht="15">
      <c r="A375" s="158"/>
      <c r="B375" s="160"/>
      <c r="C375" s="160"/>
      <c r="D375" s="160"/>
      <c r="E375" s="163"/>
      <c r="F375" s="160"/>
      <c r="G375" s="161"/>
      <c r="H375" s="161"/>
      <c r="I375" s="91"/>
      <c r="J375" s="91"/>
      <c r="K375" s="91"/>
      <c r="L375" s="162"/>
      <c r="M375" s="91"/>
      <c r="N375" s="91"/>
      <c r="O375" s="91"/>
      <c r="P375" s="164"/>
    </row>
    <row r="376" spans="1:16" ht="15">
      <c r="A376" s="158"/>
      <c r="B376" s="160"/>
      <c r="C376" s="160"/>
      <c r="D376" s="160"/>
      <c r="E376" s="163"/>
      <c r="F376" s="160"/>
      <c r="G376" s="161"/>
      <c r="H376" s="161"/>
      <c r="I376" s="91"/>
      <c r="J376" s="91"/>
      <c r="K376" s="91"/>
      <c r="L376" s="161"/>
      <c r="M376" s="91"/>
      <c r="N376" s="91"/>
      <c r="O376" s="91"/>
      <c r="P376" s="164"/>
    </row>
    <row r="377" spans="1:16" ht="15">
      <c r="A377" s="158"/>
      <c r="B377" s="160"/>
      <c r="C377" s="160"/>
      <c r="D377" s="160"/>
      <c r="E377" s="163"/>
      <c r="F377" s="160"/>
      <c r="G377" s="161"/>
      <c r="H377" s="161"/>
      <c r="I377" s="91"/>
      <c r="J377" s="91"/>
      <c r="K377" s="91"/>
      <c r="L377" s="161"/>
      <c r="M377" s="91"/>
      <c r="N377" s="91"/>
      <c r="O377" s="91"/>
      <c r="P377" s="164"/>
    </row>
    <row r="378" spans="1:16" ht="15">
      <c r="A378" s="158"/>
      <c r="B378" s="160"/>
      <c r="C378" s="160"/>
      <c r="D378" s="160"/>
      <c r="E378" s="163"/>
      <c r="F378" s="160"/>
      <c r="G378" s="161"/>
      <c r="H378" s="161"/>
      <c r="I378" s="91"/>
      <c r="J378" s="91"/>
      <c r="K378" s="91"/>
      <c r="L378" s="161"/>
      <c r="M378" s="91"/>
      <c r="N378" s="91"/>
      <c r="O378" s="91"/>
      <c r="P378" s="164"/>
    </row>
    <row r="379" spans="1:16" ht="15">
      <c r="A379" s="158"/>
      <c r="B379" s="160"/>
      <c r="C379" s="160"/>
      <c r="D379" s="160"/>
      <c r="E379" s="163"/>
      <c r="F379" s="160"/>
      <c r="G379" s="161"/>
      <c r="H379" s="161"/>
      <c r="I379" s="91"/>
      <c r="J379" s="91"/>
      <c r="K379" s="91"/>
      <c r="L379" s="161"/>
      <c r="M379" s="91"/>
      <c r="N379" s="91"/>
      <c r="O379" s="91"/>
      <c r="P379" s="164"/>
    </row>
    <row r="380" spans="1:16" ht="15">
      <c r="A380" s="158"/>
      <c r="B380" s="160"/>
      <c r="C380" s="160"/>
      <c r="D380" s="160"/>
      <c r="E380" s="163"/>
      <c r="F380" s="160"/>
      <c r="G380" s="161"/>
      <c r="H380" s="161"/>
      <c r="I380" s="91"/>
      <c r="J380" s="91"/>
      <c r="K380" s="91"/>
      <c r="L380" s="161"/>
      <c r="M380" s="91"/>
      <c r="N380" s="91"/>
      <c r="O380" s="91"/>
      <c r="P380" s="164"/>
    </row>
    <row r="381" spans="1:16" ht="15">
      <c r="A381" s="158"/>
      <c r="B381" s="160"/>
      <c r="C381" s="160"/>
      <c r="D381" s="160"/>
      <c r="E381" s="163"/>
      <c r="F381" s="160"/>
      <c r="G381" s="161"/>
      <c r="H381" s="161"/>
      <c r="I381" s="91"/>
      <c r="J381" s="91"/>
      <c r="K381" s="91"/>
      <c r="L381" s="161"/>
      <c r="M381" s="91"/>
      <c r="N381" s="91"/>
      <c r="O381" s="91"/>
      <c r="P381" s="164"/>
    </row>
    <row r="382" spans="1:16" ht="15">
      <c r="A382" s="158"/>
      <c r="B382" s="160"/>
      <c r="C382" s="160"/>
      <c r="D382" s="160"/>
      <c r="E382" s="163"/>
      <c r="F382" s="160"/>
      <c r="G382" s="161"/>
      <c r="H382" s="161"/>
      <c r="I382" s="91"/>
      <c r="J382" s="91"/>
      <c r="K382" s="91"/>
      <c r="L382" s="161"/>
      <c r="M382" s="91"/>
      <c r="N382" s="91"/>
      <c r="O382" s="91"/>
      <c r="P382" s="164"/>
    </row>
    <row r="383" spans="1:16" ht="15">
      <c r="A383" s="158"/>
      <c r="B383" s="160"/>
      <c r="C383" s="160"/>
      <c r="D383" s="160"/>
      <c r="E383" s="163"/>
      <c r="F383" s="160"/>
      <c r="G383" s="161"/>
      <c r="H383" s="161"/>
      <c r="I383" s="91"/>
      <c r="J383" s="91"/>
      <c r="K383" s="91"/>
      <c r="L383" s="161"/>
      <c r="M383" s="91"/>
      <c r="N383" s="91"/>
      <c r="O383" s="91"/>
      <c r="P383" s="164"/>
    </row>
    <row r="384" spans="1:16" ht="15">
      <c r="A384" s="158"/>
      <c r="B384" s="160"/>
      <c r="C384" s="160"/>
      <c r="D384" s="160"/>
      <c r="E384" s="163"/>
      <c r="F384" s="160"/>
      <c r="G384" s="161"/>
      <c r="H384" s="161"/>
      <c r="I384" s="91"/>
      <c r="J384" s="91"/>
      <c r="K384" s="91"/>
      <c r="L384" s="161"/>
      <c r="M384" s="91"/>
      <c r="N384" s="91"/>
      <c r="O384" s="91"/>
      <c r="P384" s="164"/>
    </row>
    <row r="385" spans="1:16" ht="15">
      <c r="A385" s="158"/>
      <c r="B385" s="160"/>
      <c r="C385" s="160"/>
      <c r="D385" s="160"/>
      <c r="E385" s="163"/>
      <c r="F385" s="160"/>
      <c r="G385" s="161"/>
      <c r="H385" s="161"/>
      <c r="I385" s="91"/>
      <c r="J385" s="91"/>
      <c r="K385" s="91"/>
      <c r="L385" s="161"/>
      <c r="M385" s="91"/>
      <c r="N385" s="91"/>
      <c r="O385" s="91"/>
      <c r="P385" s="164"/>
    </row>
    <row r="386" spans="1:16" ht="15">
      <c r="A386" s="158"/>
      <c r="B386" s="160"/>
      <c r="C386" s="160"/>
      <c r="D386" s="160"/>
      <c r="E386" s="163"/>
      <c r="F386" s="160"/>
      <c r="G386" s="161"/>
      <c r="H386" s="161"/>
      <c r="I386" s="91"/>
      <c r="J386" s="91"/>
      <c r="K386" s="91"/>
      <c r="L386" s="161"/>
      <c r="M386" s="91"/>
      <c r="N386" s="91"/>
      <c r="O386" s="91"/>
      <c r="P386" s="164"/>
    </row>
    <row r="387" spans="1:16" ht="15">
      <c r="A387" s="158"/>
      <c r="B387" s="160"/>
      <c r="C387" s="160"/>
      <c r="D387" s="160"/>
      <c r="E387" s="163"/>
      <c r="F387" s="160"/>
      <c r="G387" s="161"/>
      <c r="H387" s="161"/>
      <c r="I387" s="91"/>
      <c r="J387" s="91"/>
      <c r="K387" s="91"/>
      <c r="L387" s="162"/>
      <c r="M387" s="91"/>
      <c r="N387" s="91"/>
      <c r="O387" s="91"/>
      <c r="P387" s="164"/>
    </row>
    <row r="388" spans="1:16" ht="15">
      <c r="A388" s="158"/>
      <c r="B388" s="160"/>
      <c r="C388" s="160"/>
      <c r="D388" s="160"/>
      <c r="E388" s="163"/>
      <c r="F388" s="160"/>
      <c r="G388" s="161"/>
      <c r="H388" s="161"/>
      <c r="I388" s="91"/>
      <c r="J388" s="91"/>
      <c r="K388" s="91"/>
      <c r="L388" s="161"/>
      <c r="M388" s="91"/>
      <c r="N388" s="91"/>
      <c r="O388" s="91"/>
      <c r="P388" s="164"/>
    </row>
    <row r="389" spans="1:16" ht="15">
      <c r="A389" s="158"/>
      <c r="B389" s="160"/>
      <c r="C389" s="160"/>
      <c r="D389" s="160"/>
      <c r="E389" s="163"/>
      <c r="F389" s="160"/>
      <c r="G389" s="161"/>
      <c r="H389" s="161"/>
      <c r="I389" s="91"/>
      <c r="J389" s="91"/>
      <c r="K389" s="91"/>
      <c r="L389" s="161"/>
      <c r="M389" s="91"/>
      <c r="N389" s="91"/>
      <c r="O389" s="91"/>
      <c r="P389" s="164"/>
    </row>
    <row r="390" spans="1:16" ht="15">
      <c r="A390" s="158"/>
      <c r="B390" s="160"/>
      <c r="C390" s="160"/>
      <c r="D390" s="160"/>
      <c r="E390" s="163"/>
      <c r="F390" s="160"/>
      <c r="G390" s="161"/>
      <c r="H390" s="161"/>
      <c r="I390" s="91"/>
      <c r="J390" s="91"/>
      <c r="K390" s="91"/>
      <c r="L390" s="161"/>
      <c r="M390" s="91"/>
      <c r="N390" s="91"/>
      <c r="O390" s="91"/>
      <c r="P390" s="164"/>
    </row>
    <row r="391" spans="1:16" ht="15">
      <c r="A391" s="158"/>
      <c r="B391" s="160"/>
      <c r="C391" s="160"/>
      <c r="D391" s="160"/>
      <c r="E391" s="163"/>
      <c r="F391" s="160"/>
      <c r="G391" s="161"/>
      <c r="H391" s="161"/>
      <c r="I391" s="91"/>
      <c r="J391" s="91"/>
      <c r="K391" s="91"/>
      <c r="L391" s="161"/>
      <c r="M391" s="91"/>
      <c r="N391" s="91"/>
      <c r="O391" s="91"/>
      <c r="P391" s="164"/>
    </row>
    <row r="392" spans="1:16" ht="15">
      <c r="A392" s="158"/>
      <c r="B392" s="160"/>
      <c r="C392" s="160"/>
      <c r="D392" s="160"/>
      <c r="E392" s="163"/>
      <c r="F392" s="160"/>
      <c r="G392" s="161"/>
      <c r="H392" s="161"/>
      <c r="I392" s="91"/>
      <c r="J392" s="91"/>
      <c r="K392" s="91"/>
      <c r="L392" s="161"/>
      <c r="M392" s="91"/>
      <c r="N392" s="91"/>
      <c r="O392" s="91"/>
      <c r="P392" s="164"/>
    </row>
    <row r="393" spans="1:16" ht="15">
      <c r="A393" s="158"/>
      <c r="B393" s="160"/>
      <c r="C393" s="160"/>
      <c r="D393" s="160"/>
      <c r="E393" s="163"/>
      <c r="F393" s="160"/>
      <c r="G393" s="161"/>
      <c r="H393" s="161"/>
      <c r="I393" s="91"/>
      <c r="J393" s="91"/>
      <c r="K393" s="91"/>
      <c r="L393" s="161"/>
      <c r="M393" s="91"/>
      <c r="N393" s="91"/>
      <c r="O393" s="91"/>
      <c r="P393" s="164"/>
    </row>
    <row r="394" spans="1:16" ht="15">
      <c r="A394" s="158"/>
      <c r="B394" s="160"/>
      <c r="C394" s="160"/>
      <c r="D394" s="160"/>
      <c r="E394" s="163"/>
      <c r="F394" s="160"/>
      <c r="G394" s="161"/>
      <c r="H394" s="161"/>
      <c r="I394" s="91"/>
      <c r="J394" s="91"/>
      <c r="K394" s="91"/>
      <c r="L394" s="161"/>
      <c r="M394" s="91"/>
      <c r="N394" s="91"/>
      <c r="O394" s="91"/>
      <c r="P394" s="164"/>
    </row>
    <row r="395" spans="1:16" ht="15">
      <c r="A395" s="158"/>
      <c r="B395" s="160"/>
      <c r="C395" s="160"/>
      <c r="D395" s="160"/>
      <c r="E395" s="163"/>
      <c r="F395" s="160"/>
      <c r="G395" s="161"/>
      <c r="H395" s="161"/>
      <c r="I395" s="91"/>
      <c r="J395" s="91"/>
      <c r="K395" s="91"/>
      <c r="L395" s="161"/>
      <c r="M395" s="91"/>
      <c r="N395" s="91"/>
      <c r="O395" s="91"/>
      <c r="P395" s="164"/>
    </row>
    <row r="396" spans="1:16" ht="15">
      <c r="A396" s="158"/>
      <c r="B396" s="160"/>
      <c r="C396" s="160"/>
      <c r="D396" s="160"/>
      <c r="E396" s="163"/>
      <c r="F396" s="160"/>
      <c r="G396" s="161"/>
      <c r="H396" s="161"/>
      <c r="I396" s="91"/>
      <c r="J396" s="91"/>
      <c r="K396" s="91"/>
      <c r="L396" s="161"/>
      <c r="M396" s="91"/>
      <c r="N396" s="91"/>
      <c r="O396" s="91"/>
      <c r="P396" s="164"/>
    </row>
    <row r="397" spans="1:16" ht="15">
      <c r="A397" s="158"/>
      <c r="B397" s="160"/>
      <c r="C397" s="160"/>
      <c r="D397" s="160"/>
      <c r="E397" s="163"/>
      <c r="F397" s="160"/>
      <c r="G397" s="161"/>
      <c r="H397" s="161"/>
      <c r="I397" s="91"/>
      <c r="J397" s="91"/>
      <c r="K397" s="91"/>
      <c r="L397" s="161"/>
      <c r="M397" s="91"/>
      <c r="N397" s="91"/>
      <c r="O397" s="91"/>
      <c r="P397" s="164"/>
    </row>
    <row r="398" spans="1:16" ht="15">
      <c r="A398" s="158"/>
      <c r="B398" s="160"/>
      <c r="C398" s="160"/>
      <c r="D398" s="160"/>
      <c r="E398" s="163"/>
      <c r="F398" s="160"/>
      <c r="G398" s="161"/>
      <c r="H398" s="161"/>
      <c r="I398" s="91"/>
      <c r="J398" s="91"/>
      <c r="K398" s="91"/>
      <c r="L398" s="161"/>
      <c r="M398" s="91"/>
      <c r="N398" s="91"/>
      <c r="O398" s="91"/>
      <c r="P398" s="164"/>
    </row>
    <row r="399" spans="1:16" ht="15">
      <c r="A399" s="158"/>
      <c r="B399" s="160"/>
      <c r="C399" s="160"/>
      <c r="D399" s="160"/>
      <c r="E399" s="163"/>
      <c r="F399" s="160"/>
      <c r="G399" s="161"/>
      <c r="H399" s="161"/>
      <c r="I399" s="91"/>
      <c r="J399" s="91"/>
      <c r="K399" s="91"/>
      <c r="L399" s="161"/>
      <c r="M399" s="91"/>
      <c r="N399" s="91"/>
      <c r="O399" s="91"/>
      <c r="P399" s="164"/>
    </row>
    <row r="400" spans="1:16" ht="15">
      <c r="A400" s="158"/>
      <c r="B400" s="160"/>
      <c r="C400" s="160"/>
      <c r="D400" s="160"/>
      <c r="E400" s="163"/>
      <c r="F400" s="160"/>
      <c r="G400" s="161"/>
      <c r="H400" s="161"/>
      <c r="I400" s="91"/>
      <c r="J400" s="91"/>
      <c r="K400" s="91"/>
      <c r="L400" s="161"/>
      <c r="M400" s="91"/>
      <c r="N400" s="91"/>
      <c r="O400" s="91"/>
      <c r="P400" s="164"/>
    </row>
    <row r="401" spans="1:16" ht="15">
      <c r="A401" s="158"/>
      <c r="B401" s="160"/>
      <c r="C401" s="160"/>
      <c r="D401" s="160"/>
      <c r="E401" s="163"/>
      <c r="F401" s="160"/>
      <c r="G401" s="161"/>
      <c r="H401" s="161"/>
      <c r="I401" s="91"/>
      <c r="J401" s="91"/>
      <c r="K401" s="91"/>
      <c r="L401" s="161"/>
      <c r="M401" s="91"/>
      <c r="N401" s="91"/>
      <c r="O401" s="91"/>
      <c r="P401" s="164"/>
    </row>
    <row r="402" spans="1:16" ht="15">
      <c r="A402" s="158"/>
      <c r="B402" s="160"/>
      <c r="C402" s="160"/>
      <c r="D402" s="160"/>
      <c r="E402" s="163"/>
      <c r="F402" s="160"/>
      <c r="G402" s="161"/>
      <c r="H402" s="161"/>
      <c r="I402" s="91"/>
      <c r="J402" s="91"/>
      <c r="K402" s="91"/>
      <c r="L402" s="161"/>
      <c r="M402" s="91"/>
      <c r="N402" s="91"/>
      <c r="O402" s="91"/>
      <c r="P402" s="164"/>
    </row>
    <row r="403" spans="1:16" ht="15">
      <c r="A403" s="158"/>
      <c r="B403" s="160"/>
      <c r="C403" s="160"/>
      <c r="D403" s="160"/>
      <c r="E403" s="163"/>
      <c r="F403" s="160"/>
      <c r="G403" s="161"/>
      <c r="H403" s="161"/>
      <c r="I403" s="91"/>
      <c r="J403" s="91"/>
      <c r="K403" s="91"/>
      <c r="L403" s="161"/>
      <c r="M403" s="91"/>
      <c r="N403" s="91"/>
      <c r="O403" s="91"/>
      <c r="P403" s="164"/>
    </row>
    <row r="404" spans="1:16" ht="15">
      <c r="A404" s="158"/>
      <c r="B404" s="160"/>
      <c r="C404" s="160"/>
      <c r="D404" s="160"/>
      <c r="E404" s="163"/>
      <c r="F404" s="160"/>
      <c r="G404" s="161"/>
      <c r="H404" s="161"/>
      <c r="I404" s="91"/>
      <c r="J404" s="91"/>
      <c r="K404" s="91"/>
      <c r="L404" s="161"/>
      <c r="M404" s="91"/>
      <c r="N404" s="91"/>
      <c r="O404" s="91"/>
      <c r="P404" s="164"/>
    </row>
    <row r="405" spans="1:16" ht="15">
      <c r="A405" s="158"/>
      <c r="B405" s="160"/>
      <c r="C405" s="160"/>
      <c r="D405" s="160"/>
      <c r="E405" s="163"/>
      <c r="F405" s="160"/>
      <c r="G405" s="161"/>
      <c r="H405" s="161"/>
      <c r="I405" s="91"/>
      <c r="J405" s="91"/>
      <c r="K405" s="91"/>
      <c r="L405" s="161"/>
      <c r="M405" s="91"/>
      <c r="N405" s="91"/>
      <c r="O405" s="91"/>
      <c r="P405" s="164"/>
    </row>
    <row r="406" spans="1:16" ht="15">
      <c r="A406" s="158"/>
      <c r="B406" s="160"/>
      <c r="C406" s="160"/>
      <c r="D406" s="160"/>
      <c r="E406" s="163"/>
      <c r="F406" s="160"/>
      <c r="G406" s="161"/>
      <c r="H406" s="161"/>
      <c r="I406" s="91"/>
      <c r="J406" s="91"/>
      <c r="K406" s="91"/>
      <c r="L406" s="161"/>
      <c r="M406" s="91"/>
      <c r="N406" s="91"/>
      <c r="O406" s="91"/>
      <c r="P406" s="164"/>
    </row>
    <row r="407" spans="1:16" ht="15">
      <c r="A407" s="158"/>
      <c r="B407" s="160"/>
      <c r="C407" s="160"/>
      <c r="D407" s="160"/>
      <c r="E407" s="163"/>
      <c r="F407" s="160"/>
      <c r="G407" s="161"/>
      <c r="H407" s="161"/>
      <c r="I407" s="91"/>
      <c r="J407" s="91"/>
      <c r="K407" s="91"/>
      <c r="L407" s="161"/>
      <c r="M407" s="91"/>
      <c r="N407" s="91"/>
      <c r="O407" s="91"/>
      <c r="P407" s="164"/>
    </row>
    <row r="408" spans="1:16" ht="15">
      <c r="A408" s="158"/>
      <c r="B408" s="160"/>
      <c r="C408" s="160"/>
      <c r="D408" s="160"/>
      <c r="E408" s="163"/>
      <c r="F408" s="160"/>
      <c r="G408" s="161"/>
      <c r="H408" s="161"/>
      <c r="I408" s="91"/>
      <c r="J408" s="91"/>
      <c r="K408" s="91"/>
      <c r="L408" s="161"/>
      <c r="M408" s="91"/>
      <c r="N408" s="91"/>
      <c r="O408" s="91"/>
      <c r="P408" s="164"/>
    </row>
    <row r="409" spans="1:16" ht="15">
      <c r="A409" s="158"/>
      <c r="B409" s="160"/>
      <c r="C409" s="160"/>
      <c r="D409" s="160"/>
      <c r="E409" s="163"/>
      <c r="F409" s="160"/>
      <c r="G409" s="161"/>
      <c r="H409" s="161"/>
      <c r="I409" s="91"/>
      <c r="J409" s="91"/>
      <c r="K409" s="91"/>
      <c r="L409" s="161"/>
      <c r="M409" s="91"/>
      <c r="N409" s="91"/>
      <c r="O409" s="91"/>
      <c r="P409" s="164"/>
    </row>
    <row r="410" spans="1:16" ht="15">
      <c r="A410" s="158"/>
      <c r="B410" s="160"/>
      <c r="C410" s="160"/>
      <c r="D410" s="160"/>
      <c r="E410" s="163"/>
      <c r="F410" s="160"/>
      <c r="G410" s="161"/>
      <c r="H410" s="161"/>
      <c r="I410" s="91"/>
      <c r="J410" s="91"/>
      <c r="K410" s="91"/>
      <c r="L410" s="161"/>
      <c r="M410" s="91"/>
      <c r="N410" s="91"/>
      <c r="O410" s="91"/>
      <c r="P410" s="164"/>
    </row>
    <row r="411" spans="1:16" ht="15">
      <c r="A411" s="158"/>
      <c r="B411" s="160"/>
      <c r="C411" s="160"/>
      <c r="D411" s="160"/>
      <c r="E411" s="163"/>
      <c r="F411" s="160"/>
      <c r="G411" s="161"/>
      <c r="H411" s="161"/>
      <c r="I411" s="91"/>
      <c r="J411" s="91"/>
      <c r="K411" s="91"/>
      <c r="L411" s="161"/>
      <c r="M411" s="91"/>
      <c r="N411" s="91"/>
      <c r="O411" s="91"/>
      <c r="P411" s="164"/>
    </row>
    <row r="412" spans="1:16" ht="15">
      <c r="A412" s="158"/>
      <c r="B412" s="160"/>
      <c r="C412" s="160"/>
      <c r="D412" s="160"/>
      <c r="E412" s="163"/>
      <c r="F412" s="160"/>
      <c r="G412" s="161"/>
      <c r="H412" s="161"/>
      <c r="I412" s="91"/>
      <c r="J412" s="91"/>
      <c r="K412" s="91"/>
      <c r="L412" s="161"/>
      <c r="M412" s="91"/>
      <c r="N412" s="91"/>
      <c r="O412" s="91"/>
      <c r="P412" s="164"/>
    </row>
    <row r="413" spans="1:16" ht="15">
      <c r="A413" s="158"/>
      <c r="B413" s="160"/>
      <c r="C413" s="160"/>
      <c r="D413" s="160"/>
      <c r="E413" s="163"/>
      <c r="F413" s="160"/>
      <c r="G413" s="161"/>
      <c r="H413" s="161"/>
      <c r="I413" s="91"/>
      <c r="J413" s="91"/>
      <c r="K413" s="91"/>
      <c r="L413" s="161"/>
      <c r="M413" s="91"/>
      <c r="N413" s="91"/>
      <c r="O413" s="91"/>
      <c r="P413" s="164"/>
    </row>
    <row r="414" spans="1:16" ht="15">
      <c r="A414" s="158"/>
      <c r="B414" s="160"/>
      <c r="C414" s="160"/>
      <c r="D414" s="160"/>
      <c r="E414" s="163"/>
      <c r="F414" s="160"/>
      <c r="G414" s="161"/>
      <c r="H414" s="161"/>
      <c r="I414" s="91"/>
      <c r="J414" s="91"/>
      <c r="K414" s="91"/>
      <c r="L414" s="161"/>
      <c r="M414" s="91"/>
      <c r="N414" s="91"/>
      <c r="O414" s="91"/>
      <c r="P414" s="164"/>
    </row>
    <row r="415" spans="1:16" ht="15">
      <c r="A415" s="158"/>
      <c r="B415" s="160"/>
      <c r="C415" s="160"/>
      <c r="D415" s="160"/>
      <c r="E415" s="163"/>
      <c r="F415" s="160"/>
      <c r="G415" s="161"/>
      <c r="H415" s="161"/>
      <c r="I415" s="91"/>
      <c r="J415" s="91"/>
      <c r="K415" s="91"/>
      <c r="L415" s="161"/>
      <c r="M415" s="91"/>
      <c r="N415" s="91"/>
      <c r="O415" s="91"/>
      <c r="P415" s="164"/>
    </row>
    <row r="416" spans="1:16" ht="15">
      <c r="A416" s="158"/>
      <c r="B416" s="160"/>
      <c r="C416" s="160"/>
      <c r="D416" s="160"/>
      <c r="E416" s="163"/>
      <c r="F416" s="160"/>
      <c r="G416" s="161"/>
      <c r="H416" s="161"/>
      <c r="I416" s="91"/>
      <c r="J416" s="91"/>
      <c r="K416" s="91"/>
      <c r="L416" s="161"/>
      <c r="M416" s="91"/>
      <c r="N416" s="91"/>
      <c r="O416" s="91"/>
      <c r="P416" s="164"/>
    </row>
    <row r="417" spans="1:16" ht="15">
      <c r="A417" s="158"/>
      <c r="B417" s="160"/>
      <c r="C417" s="160"/>
      <c r="D417" s="160"/>
      <c r="E417" s="163"/>
      <c r="F417" s="160"/>
      <c r="G417" s="161"/>
      <c r="H417" s="161"/>
      <c r="I417" s="91"/>
      <c r="J417" s="91"/>
      <c r="K417" s="91"/>
      <c r="L417" s="161"/>
      <c r="M417" s="91"/>
      <c r="N417" s="91"/>
      <c r="O417" s="91"/>
      <c r="P417" s="164"/>
    </row>
    <row r="418" spans="1:16" ht="15">
      <c r="A418" s="158"/>
      <c r="B418" s="160"/>
      <c r="C418" s="160"/>
      <c r="D418" s="160"/>
      <c r="E418" s="163"/>
      <c r="F418" s="160"/>
      <c r="G418" s="161"/>
      <c r="H418" s="161"/>
      <c r="I418" s="91"/>
      <c r="J418" s="91"/>
      <c r="K418" s="91"/>
      <c r="L418" s="161"/>
      <c r="M418" s="91"/>
      <c r="N418" s="91"/>
      <c r="O418" s="91"/>
      <c r="P418" s="164"/>
    </row>
    <row r="419" spans="1:16" ht="15">
      <c r="A419" s="158"/>
      <c r="B419" s="160"/>
      <c r="C419" s="160"/>
      <c r="D419" s="160"/>
      <c r="E419" s="163"/>
      <c r="F419" s="160"/>
      <c r="G419" s="161"/>
      <c r="H419" s="161"/>
      <c r="I419" s="91"/>
      <c r="J419" s="91"/>
      <c r="K419" s="91"/>
      <c r="L419" s="161"/>
      <c r="M419" s="91"/>
      <c r="N419" s="91"/>
      <c r="O419" s="91"/>
      <c r="P419" s="164"/>
    </row>
    <row r="420" spans="1:16" ht="15">
      <c r="A420" s="158"/>
      <c r="B420" s="160"/>
      <c r="C420" s="160"/>
      <c r="D420" s="160"/>
      <c r="E420" s="163"/>
      <c r="F420" s="160"/>
      <c r="G420" s="161"/>
      <c r="H420" s="161"/>
      <c r="I420" s="91"/>
      <c r="J420" s="91"/>
      <c r="K420" s="91"/>
      <c r="L420" s="161"/>
      <c r="M420" s="91"/>
      <c r="N420" s="91"/>
      <c r="O420" s="91"/>
      <c r="P420" s="164"/>
    </row>
    <row r="421" spans="1:16" ht="15">
      <c r="A421" s="158"/>
      <c r="B421" s="160"/>
      <c r="C421" s="160"/>
      <c r="D421" s="160"/>
      <c r="E421" s="163"/>
      <c r="F421" s="160"/>
      <c r="G421" s="161"/>
      <c r="H421" s="161"/>
      <c r="I421" s="91"/>
      <c r="J421" s="91"/>
      <c r="K421" s="91"/>
      <c r="L421" s="161"/>
      <c r="M421" s="91"/>
      <c r="N421" s="91"/>
      <c r="O421" s="91"/>
      <c r="P421" s="164"/>
    </row>
    <row r="422" spans="1:16" ht="15">
      <c r="A422" s="158"/>
      <c r="B422" s="160"/>
      <c r="C422" s="160"/>
      <c r="D422" s="160"/>
      <c r="E422" s="163"/>
      <c r="F422" s="160"/>
      <c r="G422" s="161"/>
      <c r="H422" s="161"/>
      <c r="I422" s="91"/>
      <c r="J422" s="91"/>
      <c r="K422" s="91"/>
      <c r="L422" s="161"/>
      <c r="M422" s="91"/>
      <c r="N422" s="91"/>
      <c r="O422" s="91"/>
      <c r="P422" s="164"/>
    </row>
    <row r="423" spans="1:16" ht="15">
      <c r="A423" s="158"/>
      <c r="B423" s="160"/>
      <c r="C423" s="160"/>
      <c r="D423" s="160"/>
      <c r="E423" s="163"/>
      <c r="F423" s="160"/>
      <c r="G423" s="161"/>
      <c r="H423" s="161"/>
      <c r="I423" s="91"/>
      <c r="J423" s="91"/>
      <c r="K423" s="91"/>
      <c r="L423" s="161"/>
      <c r="M423" s="91"/>
      <c r="N423" s="91"/>
      <c r="O423" s="91"/>
      <c r="P423" s="164"/>
    </row>
    <row r="424" spans="1:16" ht="15">
      <c r="A424" s="158"/>
      <c r="B424" s="160"/>
      <c r="C424" s="160"/>
      <c r="D424" s="160"/>
      <c r="E424" s="163"/>
      <c r="F424" s="160"/>
      <c r="G424" s="161"/>
      <c r="H424" s="161"/>
      <c r="I424" s="91"/>
      <c r="J424" s="91"/>
      <c r="K424" s="91"/>
      <c r="L424" s="161"/>
      <c r="M424" s="91"/>
      <c r="N424" s="91"/>
      <c r="O424" s="91"/>
      <c r="P424" s="164"/>
    </row>
    <row r="425" spans="1:16" ht="15">
      <c r="A425" s="158"/>
      <c r="B425" s="160"/>
      <c r="C425" s="160"/>
      <c r="D425" s="160"/>
      <c r="E425" s="163"/>
      <c r="F425" s="160"/>
      <c r="G425" s="161"/>
      <c r="H425" s="161"/>
      <c r="I425" s="91"/>
      <c r="J425" s="91"/>
      <c r="K425" s="91"/>
      <c r="L425" s="161"/>
      <c r="M425" s="91"/>
      <c r="N425" s="91"/>
      <c r="O425" s="91"/>
      <c r="P425" s="164"/>
    </row>
    <row r="426" spans="1:16" ht="15">
      <c r="A426" s="158"/>
      <c r="B426" s="160"/>
      <c r="C426" s="160"/>
      <c r="D426" s="160"/>
      <c r="E426" s="163"/>
      <c r="F426" s="160"/>
      <c r="G426" s="161"/>
      <c r="H426" s="161"/>
      <c r="I426" s="91"/>
      <c r="J426" s="91"/>
      <c r="K426" s="91"/>
      <c r="L426" s="161"/>
      <c r="M426" s="91"/>
      <c r="N426" s="91"/>
      <c r="O426" s="91"/>
      <c r="P426" s="164"/>
    </row>
    <row r="427" spans="1:16" ht="15">
      <c r="A427" s="158"/>
      <c r="B427" s="160"/>
      <c r="C427" s="160"/>
      <c r="D427" s="160"/>
      <c r="E427" s="163"/>
      <c r="F427" s="160"/>
      <c r="G427" s="161"/>
      <c r="H427" s="161"/>
      <c r="I427" s="91"/>
      <c r="J427" s="91"/>
      <c r="K427" s="91"/>
      <c r="L427" s="161"/>
      <c r="M427" s="91"/>
      <c r="N427" s="91"/>
      <c r="O427" s="91"/>
      <c r="P427" s="164"/>
    </row>
    <row r="428" spans="1:16" ht="15">
      <c r="A428" s="158"/>
      <c r="B428" s="160"/>
      <c r="C428" s="160"/>
      <c r="D428" s="160"/>
      <c r="E428" s="163"/>
      <c r="F428" s="160"/>
      <c r="G428" s="161"/>
      <c r="H428" s="161"/>
      <c r="I428" s="91"/>
      <c r="J428" s="91"/>
      <c r="K428" s="91"/>
      <c r="L428" s="161"/>
      <c r="M428" s="91"/>
      <c r="N428" s="91"/>
      <c r="O428" s="91"/>
      <c r="P428" s="164"/>
    </row>
    <row r="429" spans="1:16" ht="15">
      <c r="A429" s="158"/>
      <c r="B429" s="160"/>
      <c r="C429" s="160"/>
      <c r="D429" s="160"/>
      <c r="E429" s="163"/>
      <c r="F429" s="160"/>
      <c r="G429" s="161"/>
      <c r="H429" s="161"/>
      <c r="I429" s="91"/>
      <c r="J429" s="91"/>
      <c r="K429" s="91"/>
      <c r="L429" s="161"/>
      <c r="M429" s="91"/>
      <c r="N429" s="91"/>
      <c r="O429" s="91"/>
      <c r="P429" s="164"/>
    </row>
    <row r="430" spans="1:16" ht="15">
      <c r="A430" s="158"/>
      <c r="B430" s="160"/>
      <c r="C430" s="160"/>
      <c r="D430" s="160"/>
      <c r="E430" s="163"/>
      <c r="F430" s="160"/>
      <c r="G430" s="161"/>
      <c r="H430" s="161"/>
      <c r="I430" s="91"/>
      <c r="J430" s="91"/>
      <c r="K430" s="91"/>
      <c r="L430" s="161"/>
      <c r="M430" s="91"/>
      <c r="N430" s="91"/>
      <c r="O430" s="91"/>
      <c r="P430" s="164"/>
    </row>
    <row r="431" spans="1:16" ht="15">
      <c r="A431" s="190"/>
      <c r="B431" s="160"/>
      <c r="C431" s="160"/>
      <c r="D431" s="160"/>
      <c r="E431" s="163"/>
      <c r="F431" s="160"/>
      <c r="G431" s="161"/>
      <c r="H431" s="161"/>
      <c r="I431" s="91"/>
      <c r="J431" s="91"/>
      <c r="K431" s="91"/>
      <c r="L431" s="161"/>
      <c r="M431" s="91"/>
      <c r="N431" s="91"/>
      <c r="O431" s="91"/>
      <c r="P431" s="164"/>
    </row>
    <row r="432" spans="1:16" ht="15">
      <c r="A432" s="190"/>
      <c r="B432" s="160"/>
      <c r="C432" s="160"/>
      <c r="D432" s="160"/>
      <c r="E432" s="163"/>
      <c r="F432" s="160"/>
      <c r="G432" s="161"/>
      <c r="H432" s="161"/>
      <c r="I432" s="91"/>
      <c r="J432" s="91"/>
      <c r="K432" s="91"/>
      <c r="L432" s="161"/>
      <c r="M432" s="91"/>
      <c r="N432" s="91"/>
      <c r="O432" s="91"/>
      <c r="P432" s="164"/>
    </row>
    <row r="433" spans="1:16" ht="15">
      <c r="A433" s="190"/>
      <c r="B433" s="160"/>
      <c r="C433" s="160"/>
      <c r="D433" s="160"/>
      <c r="E433" s="163"/>
      <c r="F433" s="160"/>
      <c r="G433" s="161"/>
      <c r="H433" s="161"/>
      <c r="I433" s="91"/>
      <c r="J433" s="91"/>
      <c r="K433" s="91"/>
      <c r="L433" s="161"/>
      <c r="M433" s="91"/>
      <c r="N433" s="91"/>
      <c r="O433" s="91"/>
      <c r="P433" s="164"/>
    </row>
    <row r="434" spans="1:16" ht="15">
      <c r="A434" s="190"/>
      <c r="B434" s="160"/>
      <c r="C434" s="160"/>
      <c r="D434" s="160"/>
      <c r="E434" s="163"/>
      <c r="F434" s="160"/>
      <c r="G434" s="161"/>
      <c r="H434" s="161"/>
      <c r="I434" s="91"/>
      <c r="J434" s="91"/>
      <c r="K434" s="91"/>
      <c r="L434" s="161"/>
      <c r="M434" s="91"/>
      <c r="N434" s="91"/>
      <c r="O434" s="91"/>
      <c r="P434" s="164"/>
    </row>
    <row r="435" spans="1:16" ht="15">
      <c r="A435" s="190"/>
      <c r="B435" s="160"/>
      <c r="C435" s="160"/>
      <c r="D435" s="160"/>
      <c r="E435" s="163"/>
      <c r="F435" s="160"/>
      <c r="G435" s="161"/>
      <c r="H435" s="161"/>
      <c r="I435" s="91"/>
      <c r="J435" s="91"/>
      <c r="K435" s="91"/>
      <c r="L435" s="161"/>
      <c r="M435" s="91"/>
      <c r="N435" s="91"/>
      <c r="O435" s="91"/>
      <c r="P435" s="164"/>
    </row>
    <row r="436" spans="1:16" ht="15">
      <c r="A436" s="190"/>
      <c r="B436" s="160"/>
      <c r="C436" s="160"/>
      <c r="D436" s="160"/>
      <c r="E436" s="163"/>
      <c r="F436" s="160"/>
      <c r="G436" s="161"/>
      <c r="H436" s="161"/>
      <c r="I436" s="91"/>
      <c r="J436" s="91"/>
      <c r="K436" s="91"/>
      <c r="L436" s="161"/>
      <c r="M436" s="91"/>
      <c r="N436" s="91"/>
      <c r="O436" s="91"/>
      <c r="P436" s="164"/>
    </row>
    <row r="437" spans="1:16" ht="15">
      <c r="A437" s="190"/>
      <c r="B437" s="160"/>
      <c r="C437" s="160"/>
      <c r="D437" s="160"/>
      <c r="E437" s="163"/>
      <c r="F437" s="160"/>
      <c r="G437" s="161"/>
      <c r="H437" s="161"/>
      <c r="I437" s="91"/>
      <c r="J437" s="91"/>
      <c r="K437" s="91"/>
      <c r="L437" s="161"/>
      <c r="M437" s="91"/>
      <c r="N437" s="91"/>
      <c r="O437" s="91"/>
      <c r="P437" s="164"/>
    </row>
    <row r="438" spans="1:16" ht="15">
      <c r="A438" s="190"/>
      <c r="B438" s="160"/>
      <c r="C438" s="160"/>
      <c r="D438" s="160"/>
      <c r="E438" s="163"/>
      <c r="F438" s="160"/>
      <c r="G438" s="161"/>
      <c r="H438" s="161"/>
      <c r="I438" s="91"/>
      <c r="J438" s="91"/>
      <c r="K438" s="91"/>
      <c r="L438" s="161"/>
      <c r="M438" s="91"/>
      <c r="N438" s="91"/>
      <c r="O438" s="91"/>
      <c r="P438" s="164"/>
    </row>
    <row r="439" spans="1:16" ht="15">
      <c r="A439" s="190"/>
      <c r="B439" s="160"/>
      <c r="C439" s="160"/>
      <c r="D439" s="160"/>
      <c r="E439" s="163"/>
      <c r="F439" s="160"/>
      <c r="G439" s="161"/>
      <c r="H439" s="161"/>
      <c r="I439" s="91"/>
      <c r="J439" s="91"/>
      <c r="K439" s="91"/>
      <c r="L439" s="161"/>
      <c r="M439" s="91"/>
      <c r="N439" s="91"/>
      <c r="O439" s="91"/>
      <c r="P439" s="164"/>
    </row>
    <row r="440" spans="1:16" ht="15">
      <c r="A440" s="190"/>
      <c r="B440" s="160"/>
      <c r="C440" s="160"/>
      <c r="D440" s="160"/>
      <c r="E440" s="163"/>
      <c r="F440" s="160"/>
      <c r="G440" s="161"/>
      <c r="H440" s="161"/>
      <c r="I440" s="91"/>
      <c r="J440" s="91"/>
      <c r="K440" s="91"/>
      <c r="L440" s="161"/>
      <c r="M440" s="91"/>
      <c r="N440" s="91"/>
      <c r="O440" s="91"/>
      <c r="P440" s="164"/>
    </row>
    <row r="441" spans="1:16" ht="15">
      <c r="A441" s="190"/>
      <c r="B441" s="160"/>
      <c r="C441" s="160"/>
      <c r="D441" s="160"/>
      <c r="E441" s="163"/>
      <c r="F441" s="160"/>
      <c r="G441" s="161"/>
      <c r="H441" s="161"/>
      <c r="I441" s="91"/>
      <c r="J441" s="91"/>
      <c r="K441" s="91"/>
      <c r="L441" s="161"/>
      <c r="M441" s="91"/>
      <c r="N441" s="91"/>
      <c r="O441" s="91"/>
      <c r="P441" s="164"/>
    </row>
    <row r="442" spans="1:16" ht="15">
      <c r="A442" s="190"/>
      <c r="B442" s="160"/>
      <c r="C442" s="160"/>
      <c r="D442" s="160"/>
      <c r="E442" s="163"/>
      <c r="F442" s="160"/>
      <c r="G442" s="161"/>
      <c r="H442" s="161"/>
      <c r="I442" s="91"/>
      <c r="J442" s="91"/>
      <c r="K442" s="91"/>
      <c r="L442" s="162"/>
      <c r="M442" s="91"/>
      <c r="N442" s="91"/>
      <c r="O442" s="91"/>
      <c r="P442" s="164"/>
    </row>
    <row r="443" spans="1:16" ht="15">
      <c r="A443" s="190"/>
      <c r="B443" s="160"/>
      <c r="C443" s="160"/>
      <c r="D443" s="160"/>
      <c r="E443" s="163"/>
      <c r="F443" s="160"/>
      <c r="G443" s="161"/>
      <c r="H443" s="161"/>
      <c r="I443" s="91"/>
      <c r="J443" s="91"/>
      <c r="K443" s="91"/>
      <c r="L443" s="162"/>
      <c r="M443" s="91"/>
      <c r="N443" s="91"/>
      <c r="O443" s="91"/>
      <c r="P443" s="164"/>
    </row>
    <row r="444" spans="1:16" ht="15">
      <c r="A444" s="190"/>
      <c r="B444" s="160"/>
      <c r="C444" s="160"/>
      <c r="D444" s="160"/>
      <c r="E444" s="163"/>
      <c r="F444" s="160"/>
      <c r="G444" s="161"/>
      <c r="H444" s="161"/>
      <c r="I444" s="91"/>
      <c r="J444" s="91"/>
      <c r="K444" s="91"/>
      <c r="L444" s="162"/>
      <c r="M444" s="91"/>
      <c r="N444" s="91"/>
      <c r="O444" s="91"/>
      <c r="P444" s="164"/>
    </row>
    <row r="445" spans="1:16" ht="15">
      <c r="A445" s="190"/>
      <c r="B445" s="160"/>
      <c r="C445" s="160"/>
      <c r="D445" s="160"/>
      <c r="E445" s="163"/>
      <c r="F445" s="160"/>
      <c r="G445" s="161"/>
      <c r="H445" s="161"/>
      <c r="I445" s="91"/>
      <c r="J445" s="91"/>
      <c r="K445" s="91"/>
      <c r="L445" s="162"/>
      <c r="M445" s="91"/>
      <c r="N445" s="91"/>
      <c r="O445" s="91"/>
      <c r="P445" s="164"/>
    </row>
    <row r="446" spans="1:16" ht="15">
      <c r="A446" s="190"/>
      <c r="B446" s="160"/>
      <c r="C446" s="160"/>
      <c r="D446" s="160"/>
      <c r="E446" s="163"/>
      <c r="F446" s="160"/>
      <c r="G446" s="161"/>
      <c r="H446" s="161"/>
      <c r="I446" s="91"/>
      <c r="J446" s="91"/>
      <c r="K446" s="91"/>
      <c r="L446" s="162"/>
      <c r="M446" s="91"/>
      <c r="N446" s="91"/>
      <c r="O446" s="91"/>
      <c r="P446" s="164"/>
    </row>
    <row r="447" spans="1:16" ht="15">
      <c r="A447" s="190"/>
      <c r="B447" s="160"/>
      <c r="C447" s="160"/>
      <c r="D447" s="160"/>
      <c r="E447" s="163"/>
      <c r="F447" s="160"/>
      <c r="G447" s="161"/>
      <c r="H447" s="161"/>
      <c r="I447" s="91"/>
      <c r="J447" s="91"/>
      <c r="K447" s="91"/>
      <c r="L447" s="162"/>
      <c r="M447" s="91"/>
      <c r="N447" s="91"/>
      <c r="O447" s="91"/>
      <c r="P447" s="164"/>
    </row>
    <row r="448" spans="1:16" ht="15">
      <c r="A448" s="190"/>
      <c r="B448" s="160"/>
      <c r="C448" s="160"/>
      <c r="D448" s="160"/>
      <c r="E448" s="163"/>
      <c r="F448" s="160"/>
      <c r="G448" s="161"/>
      <c r="H448" s="161"/>
      <c r="I448" s="91"/>
      <c r="J448" s="91"/>
      <c r="K448" s="91"/>
      <c r="L448" s="162"/>
      <c r="M448" s="91"/>
      <c r="N448" s="91"/>
      <c r="O448" s="91"/>
      <c r="P448" s="164"/>
    </row>
    <row r="449" spans="1:16" ht="15">
      <c r="A449" s="190"/>
      <c r="B449" s="160"/>
      <c r="C449" s="160"/>
      <c r="D449" s="160"/>
      <c r="E449" s="163"/>
      <c r="F449" s="160"/>
      <c r="G449" s="161"/>
      <c r="H449" s="161"/>
      <c r="I449" s="91"/>
      <c r="J449" s="91"/>
      <c r="K449" s="91"/>
      <c r="L449" s="162"/>
      <c r="M449" s="91"/>
      <c r="N449" s="91"/>
      <c r="O449" s="91"/>
      <c r="P449" s="164"/>
    </row>
    <row r="450" spans="1:16" ht="15">
      <c r="A450" s="190"/>
      <c r="B450" s="160"/>
      <c r="C450" s="160"/>
      <c r="D450" s="160"/>
      <c r="E450" s="163"/>
      <c r="F450" s="160"/>
      <c r="G450" s="161"/>
      <c r="H450" s="161"/>
      <c r="I450" s="91"/>
      <c r="J450" s="91"/>
      <c r="K450" s="91"/>
      <c r="L450" s="162"/>
      <c r="M450" s="91"/>
      <c r="N450" s="91"/>
      <c r="O450" s="91"/>
      <c r="P450" s="164"/>
    </row>
    <row r="451" spans="1:16" ht="15">
      <c r="A451" s="190"/>
      <c r="B451" s="160"/>
      <c r="C451" s="160"/>
      <c r="D451" s="160"/>
      <c r="E451" s="163"/>
      <c r="F451" s="160"/>
      <c r="G451" s="161"/>
      <c r="H451" s="161"/>
      <c r="I451" s="91"/>
      <c r="J451" s="91"/>
      <c r="K451" s="91"/>
      <c r="L451" s="161"/>
      <c r="M451" s="91"/>
      <c r="N451" s="91"/>
      <c r="O451" s="91"/>
      <c r="P451" s="164"/>
    </row>
    <row r="452" spans="1:16" ht="15">
      <c r="A452" s="190"/>
      <c r="B452" s="160"/>
      <c r="C452" s="160"/>
      <c r="D452" s="160"/>
      <c r="E452" s="163"/>
      <c r="F452" s="160"/>
      <c r="G452" s="161"/>
      <c r="H452" s="161"/>
      <c r="I452" s="91"/>
      <c r="J452" s="91"/>
      <c r="K452" s="91"/>
      <c r="L452" s="161"/>
      <c r="M452" s="91"/>
      <c r="N452" s="91"/>
      <c r="O452" s="91"/>
      <c r="P452" s="164"/>
    </row>
    <row r="453" spans="1:16" ht="15">
      <c r="A453" s="190"/>
      <c r="B453" s="160"/>
      <c r="C453" s="160"/>
      <c r="D453" s="160"/>
      <c r="E453" s="163"/>
      <c r="F453" s="160"/>
      <c r="G453" s="161"/>
      <c r="H453" s="161"/>
      <c r="I453" s="91"/>
      <c r="J453" s="91"/>
      <c r="K453" s="91"/>
      <c r="L453" s="161"/>
      <c r="M453" s="91"/>
      <c r="N453" s="91"/>
      <c r="O453" s="91"/>
      <c r="P453" s="164"/>
    </row>
    <row r="454" spans="1:16" ht="15">
      <c r="A454" s="190"/>
      <c r="B454" s="160"/>
      <c r="C454" s="160"/>
      <c r="D454" s="160"/>
      <c r="E454" s="163"/>
      <c r="F454" s="160"/>
      <c r="G454" s="161"/>
      <c r="H454" s="161"/>
      <c r="I454" s="91"/>
      <c r="J454" s="91"/>
      <c r="K454" s="91"/>
      <c r="L454" s="161"/>
      <c r="M454" s="91"/>
      <c r="N454" s="91"/>
      <c r="O454" s="91"/>
      <c r="P454" s="164"/>
    </row>
    <row r="455" spans="1:16" ht="15">
      <c r="A455" s="190"/>
      <c r="B455" s="160"/>
      <c r="C455" s="160"/>
      <c r="D455" s="160"/>
      <c r="E455" s="163"/>
      <c r="F455" s="160"/>
      <c r="G455" s="161"/>
      <c r="H455" s="161"/>
      <c r="I455" s="91"/>
      <c r="J455" s="91"/>
      <c r="K455" s="91"/>
      <c r="L455" s="161"/>
      <c r="M455" s="91"/>
      <c r="N455" s="91"/>
      <c r="O455" s="91"/>
      <c r="P455" s="164"/>
    </row>
    <row r="456" spans="1:16" ht="15">
      <c r="A456" s="190"/>
      <c r="B456" s="160"/>
      <c r="C456" s="160"/>
      <c r="D456" s="160"/>
      <c r="E456" s="163"/>
      <c r="F456" s="160"/>
      <c r="G456" s="161"/>
      <c r="H456" s="161"/>
      <c r="I456" s="91"/>
      <c r="J456" s="91"/>
      <c r="K456" s="91"/>
      <c r="L456" s="161"/>
      <c r="M456" s="91"/>
      <c r="N456" s="91"/>
      <c r="O456" s="91"/>
      <c r="P456" s="164"/>
    </row>
    <row r="457" spans="1:16" ht="15">
      <c r="A457" s="190"/>
      <c r="B457" s="160"/>
      <c r="C457" s="160"/>
      <c r="D457" s="160"/>
      <c r="E457" s="163"/>
      <c r="F457" s="160"/>
      <c r="G457" s="161"/>
      <c r="H457" s="161"/>
      <c r="I457" s="91"/>
      <c r="J457" s="91"/>
      <c r="K457" s="91"/>
      <c r="L457" s="161"/>
      <c r="M457" s="91"/>
      <c r="N457" s="91"/>
      <c r="O457" s="91"/>
      <c r="P457" s="164"/>
    </row>
    <row r="458" spans="1:16" ht="15">
      <c r="A458" s="190"/>
      <c r="B458" s="160"/>
      <c r="C458" s="160"/>
      <c r="D458" s="160"/>
      <c r="E458" s="163"/>
      <c r="F458" s="160"/>
      <c r="G458" s="161"/>
      <c r="H458" s="161"/>
      <c r="I458" s="91"/>
      <c r="J458" s="91"/>
      <c r="K458" s="91"/>
      <c r="L458" s="161"/>
      <c r="M458" s="91"/>
      <c r="N458" s="91"/>
      <c r="O458" s="91"/>
      <c r="P458" s="164"/>
    </row>
    <row r="459" spans="1:16" ht="15">
      <c r="A459" s="190"/>
      <c r="B459" s="160"/>
      <c r="C459" s="160"/>
      <c r="D459" s="160"/>
      <c r="E459" s="163"/>
      <c r="F459" s="160"/>
      <c r="G459" s="161"/>
      <c r="H459" s="161"/>
      <c r="I459" s="91"/>
      <c r="J459" s="91"/>
      <c r="K459" s="91"/>
      <c r="L459" s="161"/>
      <c r="M459" s="91"/>
      <c r="N459" s="91"/>
      <c r="O459" s="91"/>
      <c r="P459" s="164"/>
    </row>
    <row r="460" spans="1:16" ht="15">
      <c r="A460" s="190"/>
      <c r="B460" s="160"/>
      <c r="C460" s="160"/>
      <c r="D460" s="160"/>
      <c r="E460" s="163"/>
      <c r="F460" s="160"/>
      <c r="G460" s="161"/>
      <c r="H460" s="161"/>
      <c r="I460" s="91"/>
      <c r="J460" s="91"/>
      <c r="K460" s="91"/>
      <c r="L460" s="161"/>
      <c r="M460" s="91"/>
      <c r="N460" s="91"/>
      <c r="O460" s="91"/>
      <c r="P460" s="164"/>
    </row>
    <row r="461" spans="1:16" ht="15">
      <c r="A461" s="190"/>
      <c r="B461" s="160"/>
      <c r="C461" s="160"/>
      <c r="D461" s="160"/>
      <c r="E461" s="163"/>
      <c r="F461" s="160"/>
      <c r="G461" s="161"/>
      <c r="H461" s="161"/>
      <c r="I461" s="91"/>
      <c r="J461" s="91"/>
      <c r="K461" s="91"/>
      <c r="L461" s="161"/>
      <c r="M461" s="91"/>
      <c r="N461" s="91"/>
      <c r="O461" s="91"/>
      <c r="P461" s="164"/>
    </row>
    <row r="462" spans="1:16" ht="15">
      <c r="A462" s="190"/>
      <c r="B462" s="160"/>
      <c r="C462" s="160"/>
      <c r="D462" s="160"/>
      <c r="E462" s="163"/>
      <c r="F462" s="160"/>
      <c r="G462" s="161"/>
      <c r="H462" s="161"/>
      <c r="I462" s="91"/>
      <c r="J462" s="91"/>
      <c r="K462" s="91"/>
      <c r="L462" s="161"/>
      <c r="M462" s="91"/>
      <c r="N462" s="91"/>
      <c r="O462" s="91"/>
      <c r="P462" s="164"/>
    </row>
    <row r="463" spans="1:16" ht="15">
      <c r="A463" s="190"/>
      <c r="B463" s="160"/>
      <c r="C463" s="160"/>
      <c r="D463" s="160"/>
      <c r="E463" s="163"/>
      <c r="F463" s="160"/>
      <c r="G463" s="161"/>
      <c r="H463" s="161"/>
      <c r="I463" s="91"/>
      <c r="J463" s="91"/>
      <c r="K463" s="91"/>
      <c r="L463" s="161"/>
      <c r="M463" s="91"/>
      <c r="N463" s="91"/>
      <c r="O463" s="91"/>
      <c r="P463" s="164"/>
    </row>
    <row r="464" spans="1:16" ht="15">
      <c r="A464" s="190"/>
      <c r="B464" s="160"/>
      <c r="C464" s="160"/>
      <c r="D464" s="160"/>
      <c r="E464" s="163"/>
      <c r="F464" s="160"/>
      <c r="G464" s="161"/>
      <c r="H464" s="161"/>
      <c r="I464" s="91"/>
      <c r="J464" s="91"/>
      <c r="K464" s="91"/>
      <c r="L464" s="161"/>
      <c r="M464" s="91"/>
      <c r="N464" s="91"/>
      <c r="O464" s="91"/>
      <c r="P464" s="164"/>
    </row>
    <row r="465" spans="1:16" ht="15">
      <c r="A465" s="190"/>
      <c r="B465" s="160"/>
      <c r="C465" s="160"/>
      <c r="D465" s="160"/>
      <c r="E465" s="163"/>
      <c r="F465" s="160"/>
      <c r="G465" s="161"/>
      <c r="H465" s="161"/>
      <c r="I465" s="91"/>
      <c r="J465" s="91"/>
      <c r="K465" s="91"/>
      <c r="L465" s="161"/>
      <c r="M465" s="91"/>
      <c r="N465" s="91"/>
      <c r="O465" s="91"/>
      <c r="P465" s="164"/>
    </row>
    <row r="466" spans="1:16" ht="15">
      <c r="A466" s="190"/>
      <c r="B466" s="160"/>
      <c r="C466" s="160"/>
      <c r="D466" s="160"/>
      <c r="E466" s="163"/>
      <c r="F466" s="160"/>
      <c r="G466" s="161"/>
      <c r="H466" s="161"/>
      <c r="I466" s="91"/>
      <c r="J466" s="91"/>
      <c r="K466" s="91"/>
      <c r="L466" s="161"/>
      <c r="M466" s="91"/>
      <c r="N466" s="91"/>
      <c r="O466" s="91"/>
      <c r="P466" s="164"/>
    </row>
    <row r="467" spans="1:16" ht="15">
      <c r="A467" s="190"/>
      <c r="B467" s="160"/>
      <c r="C467" s="160"/>
      <c r="D467" s="160"/>
      <c r="E467" s="163"/>
      <c r="F467" s="160"/>
      <c r="G467" s="161"/>
      <c r="H467" s="161"/>
      <c r="I467" s="91"/>
      <c r="J467" s="91"/>
      <c r="K467" s="91"/>
      <c r="L467" s="161"/>
      <c r="M467" s="91"/>
      <c r="N467" s="91"/>
      <c r="O467" s="91"/>
      <c r="P467" s="164"/>
    </row>
    <row r="468" spans="1:16" ht="15">
      <c r="A468" s="190"/>
      <c r="B468" s="160"/>
      <c r="C468" s="160"/>
      <c r="D468" s="160"/>
      <c r="E468" s="163"/>
      <c r="F468" s="160"/>
      <c r="G468" s="161"/>
      <c r="H468" s="161"/>
      <c r="I468" s="91"/>
      <c r="J468" s="91"/>
      <c r="K468" s="91"/>
      <c r="L468" s="161"/>
      <c r="M468" s="91"/>
      <c r="N468" s="91"/>
      <c r="O468" s="91"/>
      <c r="P468" s="164"/>
    </row>
    <row r="469" spans="1:16" ht="15">
      <c r="A469" s="190"/>
      <c r="B469" s="160"/>
      <c r="C469" s="160"/>
      <c r="D469" s="160"/>
      <c r="E469" s="163"/>
      <c r="F469" s="160"/>
      <c r="G469" s="161"/>
      <c r="H469" s="161"/>
      <c r="I469" s="91"/>
      <c r="J469" s="91"/>
      <c r="K469" s="91"/>
      <c r="L469" s="161"/>
      <c r="M469" s="91"/>
      <c r="N469" s="91"/>
      <c r="O469" s="91"/>
      <c r="P469" s="164"/>
    </row>
    <row r="470" spans="1:16" ht="15">
      <c r="A470" s="190"/>
      <c r="B470" s="160"/>
      <c r="C470" s="160"/>
      <c r="D470" s="160"/>
      <c r="E470" s="163"/>
      <c r="F470" s="160"/>
      <c r="G470" s="161"/>
      <c r="H470" s="161"/>
      <c r="I470" s="91"/>
      <c r="J470" s="91"/>
      <c r="K470" s="91"/>
      <c r="L470" s="161"/>
      <c r="M470" s="91"/>
      <c r="N470" s="91"/>
      <c r="O470" s="91"/>
      <c r="P470" s="164"/>
    </row>
    <row r="471" spans="1:16" ht="15">
      <c r="A471" s="190"/>
      <c r="B471" s="160"/>
      <c r="C471" s="160"/>
      <c r="D471" s="160"/>
      <c r="E471" s="163"/>
      <c r="F471" s="160"/>
      <c r="G471" s="161"/>
      <c r="H471" s="161"/>
      <c r="I471" s="91"/>
      <c r="J471" s="91"/>
      <c r="K471" s="91"/>
      <c r="L471" s="161"/>
      <c r="M471" s="91"/>
      <c r="N471" s="91"/>
      <c r="O471" s="91"/>
      <c r="P471" s="164"/>
    </row>
    <row r="472" spans="1:16" ht="15">
      <c r="A472" s="190"/>
      <c r="B472" s="160"/>
      <c r="C472" s="160"/>
      <c r="D472" s="160"/>
      <c r="E472" s="163"/>
      <c r="F472" s="160"/>
      <c r="G472" s="161"/>
      <c r="H472" s="161"/>
      <c r="I472" s="91"/>
      <c r="J472" s="91"/>
      <c r="K472" s="91"/>
      <c r="L472" s="161"/>
      <c r="M472" s="91"/>
      <c r="N472" s="91"/>
      <c r="O472" s="91"/>
      <c r="P472" s="164"/>
    </row>
    <row r="473" spans="1:16" ht="15">
      <c r="A473" s="190"/>
      <c r="B473" s="160"/>
      <c r="C473" s="160"/>
      <c r="D473" s="160"/>
      <c r="E473" s="163"/>
      <c r="F473" s="160"/>
      <c r="G473" s="161"/>
      <c r="H473" s="161"/>
      <c r="I473" s="91"/>
      <c r="J473" s="91"/>
      <c r="K473" s="91"/>
      <c r="L473" s="161"/>
      <c r="M473" s="91"/>
      <c r="N473" s="91"/>
      <c r="O473" s="91"/>
      <c r="P473" s="164"/>
    </row>
    <row r="474" spans="1:16" ht="15">
      <c r="A474" s="190"/>
      <c r="B474" s="160"/>
      <c r="C474" s="160"/>
      <c r="D474" s="160"/>
      <c r="E474" s="163"/>
      <c r="F474" s="160"/>
      <c r="G474" s="161"/>
      <c r="H474" s="161"/>
      <c r="I474" s="91"/>
      <c r="J474" s="91"/>
      <c r="K474" s="91"/>
      <c r="L474" s="161"/>
      <c r="M474" s="91"/>
      <c r="N474" s="91"/>
      <c r="O474" s="91"/>
      <c r="P474" s="164"/>
    </row>
    <row r="475" spans="1:16" ht="15">
      <c r="A475" s="190"/>
      <c r="B475" s="160"/>
      <c r="C475" s="160"/>
      <c r="D475" s="160"/>
      <c r="E475" s="163"/>
      <c r="F475" s="160"/>
      <c r="G475" s="161"/>
      <c r="H475" s="161"/>
      <c r="I475" s="91"/>
      <c r="J475" s="91"/>
      <c r="K475" s="91"/>
      <c r="L475" s="161"/>
      <c r="M475" s="91"/>
      <c r="N475" s="91"/>
      <c r="O475" s="91"/>
      <c r="P475" s="164"/>
    </row>
    <row r="476" spans="1:16" ht="15">
      <c r="A476" s="190"/>
      <c r="B476" s="160"/>
      <c r="C476" s="160"/>
      <c r="D476" s="160"/>
      <c r="E476" s="163"/>
      <c r="F476" s="160"/>
      <c r="G476" s="161"/>
      <c r="H476" s="161"/>
      <c r="I476" s="91"/>
      <c r="J476" s="91"/>
      <c r="K476" s="91"/>
      <c r="L476" s="161"/>
      <c r="M476" s="91"/>
      <c r="N476" s="91"/>
      <c r="O476" s="91"/>
      <c r="P476" s="164"/>
    </row>
    <row r="477" spans="1:16" ht="15">
      <c r="A477" s="190"/>
      <c r="B477" s="160"/>
      <c r="C477" s="160"/>
      <c r="D477" s="160"/>
      <c r="E477" s="163"/>
      <c r="F477" s="160"/>
      <c r="G477" s="161"/>
      <c r="H477" s="161"/>
      <c r="I477" s="91"/>
      <c r="J477" s="91"/>
      <c r="K477" s="91"/>
      <c r="L477" s="161"/>
      <c r="M477" s="91"/>
      <c r="N477" s="91"/>
      <c r="O477" s="91"/>
      <c r="P477" s="164"/>
    </row>
    <row r="478" spans="1:16" ht="15">
      <c r="A478" s="190"/>
      <c r="B478" s="160"/>
      <c r="C478" s="160"/>
      <c r="D478" s="160"/>
      <c r="E478" s="163"/>
      <c r="F478" s="160"/>
      <c r="G478" s="161"/>
      <c r="H478" s="161"/>
      <c r="I478" s="91"/>
      <c r="J478" s="91"/>
      <c r="K478" s="91"/>
      <c r="L478" s="161"/>
      <c r="M478" s="91"/>
      <c r="N478" s="91"/>
      <c r="O478" s="91"/>
      <c r="P478" s="164"/>
    </row>
    <row r="479" spans="1:16" ht="15">
      <c r="A479" s="190"/>
      <c r="B479" s="160"/>
      <c r="C479" s="160"/>
      <c r="D479" s="160"/>
      <c r="E479" s="163"/>
      <c r="F479" s="160"/>
      <c r="G479" s="161"/>
      <c r="H479" s="161"/>
      <c r="I479" s="91"/>
      <c r="J479" s="91"/>
      <c r="K479" s="91"/>
      <c r="L479" s="161"/>
      <c r="M479" s="91"/>
      <c r="N479" s="91"/>
      <c r="O479" s="91"/>
      <c r="P479" s="164"/>
    </row>
    <row r="480" spans="1:16" ht="15">
      <c r="A480" s="190"/>
      <c r="B480" s="160"/>
      <c r="C480" s="160"/>
      <c r="D480" s="160"/>
      <c r="E480" s="163"/>
      <c r="F480" s="160"/>
      <c r="G480" s="161"/>
      <c r="H480" s="161"/>
      <c r="I480" s="91"/>
      <c r="J480" s="91"/>
      <c r="K480" s="91"/>
      <c r="L480" s="162"/>
      <c r="M480" s="91"/>
      <c r="N480" s="91"/>
      <c r="O480" s="91"/>
      <c r="P480" s="164"/>
    </row>
    <row r="481" spans="1:16" ht="15">
      <c r="A481" s="190"/>
      <c r="B481" s="160"/>
      <c r="C481" s="160"/>
      <c r="D481" s="160"/>
      <c r="E481" s="163"/>
      <c r="F481" s="160"/>
      <c r="G481" s="161"/>
      <c r="H481" s="161"/>
      <c r="I481" s="91"/>
      <c r="J481" s="91"/>
      <c r="K481" s="91"/>
      <c r="L481" s="161"/>
      <c r="M481" s="91"/>
      <c r="N481" s="91"/>
      <c r="O481" s="91"/>
      <c r="P481" s="164"/>
    </row>
    <row r="482" spans="1:16" ht="15">
      <c r="A482" s="190"/>
      <c r="B482" s="160"/>
      <c r="C482" s="160"/>
      <c r="D482" s="160"/>
      <c r="E482" s="163"/>
      <c r="F482" s="160"/>
      <c r="G482" s="161"/>
      <c r="H482" s="161"/>
      <c r="I482" s="91"/>
      <c r="J482" s="91"/>
      <c r="K482" s="91"/>
      <c r="L482" s="161"/>
      <c r="M482" s="91"/>
      <c r="N482" s="91"/>
      <c r="O482" s="91"/>
      <c r="P482" s="164"/>
    </row>
    <row r="483" spans="1:16" ht="15">
      <c r="A483" s="190"/>
      <c r="B483" s="160"/>
      <c r="C483" s="160"/>
      <c r="D483" s="160"/>
      <c r="E483" s="163"/>
      <c r="F483" s="160"/>
      <c r="G483" s="161"/>
      <c r="H483" s="161"/>
      <c r="I483" s="91"/>
      <c r="J483" s="91"/>
      <c r="K483" s="91"/>
      <c r="L483" s="161"/>
      <c r="M483" s="91"/>
      <c r="N483" s="91"/>
      <c r="O483" s="91"/>
      <c r="P483" s="164"/>
    </row>
    <row r="484" spans="1:16" ht="15">
      <c r="A484" s="190"/>
      <c r="B484" s="160"/>
      <c r="C484" s="160"/>
      <c r="D484" s="160"/>
      <c r="E484" s="163"/>
      <c r="F484" s="160"/>
      <c r="G484" s="161"/>
      <c r="H484" s="161"/>
      <c r="I484" s="91"/>
      <c r="J484" s="91"/>
      <c r="K484" s="91"/>
      <c r="L484" s="161"/>
      <c r="M484" s="91"/>
      <c r="N484" s="91"/>
      <c r="O484" s="91"/>
      <c r="P484" s="164"/>
    </row>
    <row r="485" spans="1:16" ht="15">
      <c r="A485" s="190"/>
      <c r="B485" s="160"/>
      <c r="C485" s="160"/>
      <c r="D485" s="160"/>
      <c r="E485" s="163"/>
      <c r="F485" s="160"/>
      <c r="G485" s="161"/>
      <c r="H485" s="161"/>
      <c r="I485" s="91"/>
      <c r="J485" s="91"/>
      <c r="K485" s="91"/>
      <c r="L485" s="161"/>
      <c r="M485" s="91"/>
      <c r="N485" s="91"/>
      <c r="O485" s="91"/>
      <c r="P485" s="164"/>
    </row>
    <row r="486" spans="1:16" ht="15">
      <c r="A486" s="190"/>
      <c r="B486" s="160"/>
      <c r="C486" s="160"/>
      <c r="D486" s="160"/>
      <c r="E486" s="163"/>
      <c r="F486" s="160"/>
      <c r="G486" s="161"/>
      <c r="H486" s="161"/>
      <c r="I486" s="91"/>
      <c r="J486" s="91"/>
      <c r="K486" s="91"/>
      <c r="L486" s="161"/>
      <c r="M486" s="91"/>
      <c r="N486" s="91"/>
      <c r="O486" s="91"/>
      <c r="P486" s="164"/>
    </row>
    <row r="487" spans="1:16" ht="15">
      <c r="A487" s="190"/>
      <c r="B487" s="160"/>
      <c r="C487" s="160"/>
      <c r="D487" s="160"/>
      <c r="E487" s="163"/>
      <c r="F487" s="160"/>
      <c r="G487" s="161"/>
      <c r="H487" s="161"/>
      <c r="I487" s="91"/>
      <c r="J487" s="91"/>
      <c r="K487" s="91"/>
      <c r="L487" s="161"/>
      <c r="M487" s="91"/>
      <c r="N487" s="91"/>
      <c r="O487" s="91"/>
      <c r="P487" s="164"/>
    </row>
    <row r="488" spans="1:16" ht="14.45" customHeight="1">
      <c r="A488" s="190"/>
      <c r="B488" s="160"/>
      <c r="C488" s="160"/>
      <c r="D488" s="160"/>
      <c r="E488" s="163"/>
      <c r="F488" s="160"/>
      <c r="G488" s="161"/>
      <c r="H488" s="161"/>
      <c r="I488" s="91"/>
      <c r="J488" s="91"/>
      <c r="K488" s="91"/>
      <c r="L488" s="161"/>
      <c r="M488" s="91"/>
      <c r="N488" s="91"/>
      <c r="O488" s="91"/>
      <c r="P488" s="164"/>
    </row>
    <row r="489" spans="1:16" ht="14.45" customHeight="1">
      <c r="A489" s="190"/>
      <c r="B489" s="160"/>
      <c r="C489" s="160"/>
      <c r="D489" s="160"/>
      <c r="E489" s="163"/>
      <c r="F489" s="160"/>
      <c r="G489" s="161"/>
      <c r="H489" s="161"/>
      <c r="I489" s="91"/>
      <c r="J489" s="91"/>
      <c r="K489" s="91"/>
      <c r="L489" s="161"/>
      <c r="M489" s="91"/>
      <c r="N489" s="91"/>
      <c r="O489" s="91"/>
      <c r="P489" s="164"/>
    </row>
    <row r="490" spans="1:16" ht="14.45" customHeight="1">
      <c r="A490" s="190"/>
      <c r="B490" s="160"/>
      <c r="C490" s="160"/>
      <c r="D490" s="160"/>
      <c r="E490" s="163"/>
      <c r="F490" s="160"/>
      <c r="G490" s="161"/>
      <c r="H490" s="161"/>
      <c r="I490" s="91"/>
      <c r="J490" s="91"/>
      <c r="K490" s="91"/>
      <c r="L490" s="161"/>
      <c r="M490" s="91"/>
      <c r="N490" s="91"/>
      <c r="O490" s="91"/>
      <c r="P490" s="164"/>
    </row>
    <row r="491" spans="1:16" ht="14.45" customHeight="1">
      <c r="A491" s="190"/>
      <c r="B491" s="160"/>
      <c r="C491" s="160"/>
      <c r="D491" s="160"/>
      <c r="E491" s="163"/>
      <c r="F491" s="160"/>
      <c r="G491" s="161"/>
      <c r="H491" s="161"/>
      <c r="I491" s="91"/>
      <c r="J491" s="91"/>
      <c r="K491" s="91"/>
      <c r="L491" s="161"/>
      <c r="M491" s="91"/>
      <c r="N491" s="91"/>
      <c r="O491" s="91"/>
      <c r="P491" s="164"/>
    </row>
    <row r="492" spans="1:16" ht="14.45" customHeight="1">
      <c r="A492" s="190"/>
      <c r="B492" s="160"/>
      <c r="C492" s="160"/>
      <c r="D492" s="160"/>
      <c r="E492" s="163"/>
      <c r="F492" s="160"/>
      <c r="G492" s="161"/>
      <c r="H492" s="161"/>
      <c r="I492" s="91"/>
      <c r="J492" s="91"/>
      <c r="K492" s="91"/>
      <c r="L492" s="161"/>
      <c r="M492" s="91"/>
      <c r="N492" s="91"/>
      <c r="O492" s="91"/>
      <c r="P492" s="164"/>
    </row>
    <row r="493" spans="1:16" ht="14.45" customHeight="1">
      <c r="A493" s="190"/>
      <c r="B493" s="160"/>
      <c r="C493" s="160"/>
      <c r="D493" s="160"/>
      <c r="E493" s="163"/>
      <c r="F493" s="160"/>
      <c r="G493" s="161"/>
      <c r="H493" s="161"/>
      <c r="I493" s="91"/>
      <c r="J493" s="91"/>
      <c r="K493" s="91"/>
      <c r="L493" s="161"/>
      <c r="M493" s="91"/>
      <c r="N493" s="91"/>
      <c r="O493" s="91"/>
      <c r="P493" s="164"/>
    </row>
    <row r="494" spans="1:16" ht="14.45" customHeight="1">
      <c r="A494" s="190"/>
      <c r="B494" s="160"/>
      <c r="C494" s="160"/>
      <c r="D494" s="160"/>
      <c r="E494" s="163"/>
      <c r="F494" s="160"/>
      <c r="G494" s="161"/>
      <c r="H494" s="161"/>
      <c r="I494" s="91"/>
      <c r="J494" s="91"/>
      <c r="K494" s="91"/>
      <c r="L494" s="161"/>
      <c r="M494" s="91"/>
      <c r="N494" s="91"/>
      <c r="O494" s="91"/>
      <c r="P494" s="164"/>
    </row>
    <row r="495" spans="1:16" ht="14.45" customHeight="1">
      <c r="A495" s="190"/>
      <c r="B495" s="160"/>
      <c r="C495" s="160"/>
      <c r="D495" s="160"/>
      <c r="E495" s="163"/>
      <c r="F495" s="160"/>
      <c r="G495" s="161"/>
      <c r="H495" s="161"/>
      <c r="I495" s="91"/>
      <c r="J495" s="91"/>
      <c r="K495" s="91"/>
      <c r="L495" s="161"/>
      <c r="M495" s="91"/>
      <c r="N495" s="91"/>
      <c r="O495" s="91"/>
      <c r="P495" s="164"/>
    </row>
    <row r="496" spans="1:16" ht="14.45" customHeight="1">
      <c r="A496" s="190"/>
      <c r="B496" s="160"/>
      <c r="C496" s="160"/>
      <c r="D496" s="160"/>
      <c r="E496" s="163"/>
      <c r="F496" s="160"/>
      <c r="G496" s="161"/>
      <c r="H496" s="161"/>
      <c r="I496" s="91"/>
      <c r="J496" s="91"/>
      <c r="K496" s="91"/>
      <c r="L496" s="161"/>
      <c r="M496" s="91"/>
      <c r="N496" s="91"/>
      <c r="O496" s="91"/>
      <c r="P496" s="164"/>
    </row>
    <row r="497" spans="1:16" ht="14.45" customHeight="1">
      <c r="A497" s="190"/>
      <c r="B497" s="160"/>
      <c r="C497" s="160"/>
      <c r="D497" s="160"/>
      <c r="E497" s="163"/>
      <c r="F497" s="160"/>
      <c r="G497" s="161"/>
      <c r="H497" s="161"/>
      <c r="I497" s="91"/>
      <c r="J497" s="91"/>
      <c r="K497" s="91"/>
      <c r="L497" s="161"/>
      <c r="M497" s="91"/>
      <c r="N497" s="91"/>
      <c r="O497" s="91"/>
      <c r="P497" s="164"/>
    </row>
    <row r="498" spans="1:16" ht="14.45" customHeight="1">
      <c r="A498" s="190"/>
      <c r="B498" s="160"/>
      <c r="C498" s="160"/>
      <c r="D498" s="160"/>
      <c r="E498" s="163"/>
      <c r="F498" s="160"/>
      <c r="G498" s="161"/>
      <c r="H498" s="161"/>
      <c r="I498" s="91"/>
      <c r="J498" s="91"/>
      <c r="K498" s="91"/>
      <c r="L498" s="161"/>
      <c r="M498" s="91"/>
      <c r="N498" s="91"/>
      <c r="O498" s="91"/>
      <c r="P498" s="164"/>
    </row>
    <row r="499" spans="1:16" ht="14.45" customHeight="1">
      <c r="A499" s="190"/>
      <c r="B499" s="160"/>
      <c r="C499" s="160"/>
      <c r="D499" s="160"/>
      <c r="E499" s="163"/>
      <c r="F499" s="160"/>
      <c r="G499" s="161"/>
      <c r="H499" s="161"/>
      <c r="I499" s="91"/>
      <c r="J499" s="91"/>
      <c r="K499" s="91"/>
      <c r="L499" s="161"/>
      <c r="M499" s="91"/>
      <c r="N499" s="91"/>
      <c r="O499" s="91"/>
      <c r="P499" s="164"/>
    </row>
    <row r="500" spans="1:16" ht="14.45" customHeight="1">
      <c r="A500" s="190"/>
      <c r="B500" s="160"/>
      <c r="C500" s="160"/>
      <c r="D500" s="160"/>
      <c r="E500" s="163"/>
      <c r="F500" s="160"/>
      <c r="G500" s="161"/>
      <c r="H500" s="161"/>
      <c r="I500" s="91"/>
      <c r="J500" s="91"/>
      <c r="K500" s="91"/>
      <c r="L500" s="162"/>
      <c r="M500" s="91"/>
      <c r="N500" s="91"/>
      <c r="O500" s="91"/>
      <c r="P500" s="164"/>
    </row>
    <row r="501" spans="1:16" ht="14.45" customHeight="1">
      <c r="A501" s="190"/>
      <c r="B501" s="160"/>
      <c r="C501" s="160"/>
      <c r="D501" s="160"/>
      <c r="E501" s="163"/>
      <c r="F501" s="160"/>
      <c r="G501" s="161"/>
      <c r="H501" s="161"/>
      <c r="I501" s="91"/>
      <c r="J501" s="91"/>
      <c r="K501" s="91"/>
      <c r="L501" s="161"/>
      <c r="M501" s="91"/>
      <c r="N501" s="91"/>
      <c r="O501" s="91"/>
      <c r="P501" s="164"/>
    </row>
    <row r="502" spans="1:16" ht="14.45" customHeight="1">
      <c r="A502" s="190"/>
      <c r="B502" s="160"/>
      <c r="C502" s="160"/>
      <c r="D502" s="160"/>
      <c r="E502" s="163"/>
      <c r="F502" s="160"/>
      <c r="G502" s="161"/>
      <c r="H502" s="161"/>
      <c r="I502" s="91"/>
      <c r="J502" s="91"/>
      <c r="K502" s="91"/>
      <c r="L502" s="161"/>
      <c r="M502" s="91"/>
      <c r="N502" s="91"/>
      <c r="O502" s="91"/>
      <c r="P502" s="164"/>
    </row>
    <row r="503" spans="1:16" ht="14.45" customHeight="1">
      <c r="A503" s="190"/>
      <c r="B503" s="160"/>
      <c r="C503" s="160"/>
      <c r="D503" s="160"/>
      <c r="E503" s="163"/>
      <c r="F503" s="160"/>
      <c r="G503" s="161"/>
      <c r="H503" s="161"/>
      <c r="I503" s="91"/>
      <c r="J503" s="91"/>
      <c r="K503" s="91"/>
      <c r="L503" s="161"/>
      <c r="M503" s="91"/>
      <c r="N503" s="91"/>
      <c r="O503" s="91"/>
      <c r="P503" s="164"/>
    </row>
    <row r="504" spans="1:16" ht="14.45" customHeight="1">
      <c r="A504" s="190"/>
      <c r="B504" s="160"/>
      <c r="C504" s="160"/>
      <c r="D504" s="160"/>
      <c r="E504" s="163"/>
      <c r="F504" s="160"/>
      <c r="G504" s="161"/>
      <c r="H504" s="161"/>
      <c r="I504" s="91"/>
      <c r="J504" s="91"/>
      <c r="K504" s="91"/>
      <c r="L504" s="161"/>
      <c r="M504" s="91"/>
      <c r="N504" s="91"/>
      <c r="O504" s="91"/>
      <c r="P504" s="164"/>
    </row>
    <row r="505" spans="1:16" ht="14.45" customHeight="1">
      <c r="A505" s="190"/>
      <c r="B505" s="160"/>
      <c r="C505" s="160"/>
      <c r="D505" s="160"/>
      <c r="E505" s="163"/>
      <c r="F505" s="160"/>
      <c r="G505" s="161"/>
      <c r="H505" s="161"/>
      <c r="I505" s="91"/>
      <c r="J505" s="91"/>
      <c r="K505" s="91"/>
      <c r="L505" s="161"/>
      <c r="M505" s="91"/>
      <c r="N505" s="91"/>
      <c r="O505" s="91"/>
      <c r="P505" s="164"/>
    </row>
    <row r="506" spans="1:16" ht="14.45" customHeight="1">
      <c r="A506" s="190"/>
      <c r="B506" s="160"/>
      <c r="C506" s="160"/>
      <c r="D506" s="160"/>
      <c r="E506" s="163"/>
      <c r="F506" s="160"/>
      <c r="G506" s="161"/>
      <c r="H506" s="161"/>
      <c r="I506" s="91"/>
      <c r="J506" s="91"/>
      <c r="K506" s="91"/>
      <c r="L506" s="161"/>
      <c r="M506" s="91"/>
      <c r="N506" s="91"/>
      <c r="O506" s="91"/>
      <c r="P506" s="164"/>
    </row>
    <row r="507" spans="1:16" ht="14.45" customHeight="1">
      <c r="A507" s="190"/>
      <c r="B507" s="160"/>
      <c r="C507" s="160"/>
      <c r="D507" s="160"/>
      <c r="E507" s="163"/>
      <c r="F507" s="160"/>
      <c r="G507" s="161"/>
      <c r="H507" s="161"/>
      <c r="I507" s="91"/>
      <c r="J507" s="91"/>
      <c r="K507" s="91"/>
      <c r="L507" s="161"/>
      <c r="M507" s="91"/>
      <c r="N507" s="91"/>
      <c r="O507" s="91"/>
      <c r="P507" s="164"/>
    </row>
    <row r="508" spans="1:16" ht="14.45" customHeight="1">
      <c r="A508" s="190"/>
      <c r="B508" s="160"/>
      <c r="C508" s="160"/>
      <c r="D508" s="160"/>
      <c r="E508" s="163"/>
      <c r="F508" s="160"/>
      <c r="G508" s="161"/>
      <c r="H508" s="161"/>
      <c r="I508" s="91"/>
      <c r="J508" s="91"/>
      <c r="K508" s="91"/>
      <c r="L508" s="161"/>
      <c r="M508" s="91"/>
      <c r="N508" s="91"/>
      <c r="O508" s="91"/>
      <c r="P508" s="164"/>
    </row>
    <row r="509" spans="1:16" ht="14.45" customHeight="1">
      <c r="A509" s="190"/>
      <c r="B509" s="160"/>
      <c r="C509" s="160"/>
      <c r="D509" s="160"/>
      <c r="E509" s="163"/>
      <c r="F509" s="160"/>
      <c r="G509" s="161"/>
      <c r="H509" s="161"/>
      <c r="I509" s="91"/>
      <c r="J509" s="91"/>
      <c r="K509" s="91"/>
      <c r="L509" s="161"/>
      <c r="M509" s="91"/>
      <c r="N509" s="91"/>
      <c r="O509" s="91"/>
      <c r="P509" s="164"/>
    </row>
    <row r="510" spans="1:16" ht="14.45" customHeight="1">
      <c r="A510" s="190"/>
      <c r="B510" s="160"/>
      <c r="C510" s="160"/>
      <c r="D510" s="160"/>
      <c r="E510" s="163"/>
      <c r="F510" s="160"/>
      <c r="G510" s="161"/>
      <c r="H510" s="161"/>
      <c r="I510" s="91"/>
      <c r="J510" s="91"/>
      <c r="K510" s="91"/>
      <c r="L510" s="161"/>
      <c r="M510" s="91"/>
      <c r="N510" s="91"/>
      <c r="O510" s="91"/>
      <c r="P510" s="164"/>
    </row>
    <row r="511" spans="1:16" ht="14.45" customHeight="1">
      <c r="A511" s="190"/>
      <c r="B511" s="160"/>
      <c r="C511" s="160"/>
      <c r="D511" s="160"/>
      <c r="E511" s="163"/>
      <c r="F511" s="160"/>
      <c r="G511" s="161"/>
      <c r="H511" s="161"/>
      <c r="I511" s="91"/>
      <c r="J511" s="91"/>
      <c r="K511" s="91"/>
      <c r="L511" s="161"/>
      <c r="M511" s="91"/>
      <c r="N511" s="91"/>
      <c r="O511" s="91"/>
      <c r="P511" s="164"/>
    </row>
    <row r="512" spans="1:16" ht="14.45" customHeight="1">
      <c r="A512" s="190"/>
      <c r="B512" s="160"/>
      <c r="C512" s="160"/>
      <c r="D512" s="160"/>
      <c r="E512" s="163"/>
      <c r="F512" s="160"/>
      <c r="G512" s="161"/>
      <c r="H512" s="161"/>
      <c r="I512" s="91"/>
      <c r="J512" s="91"/>
      <c r="K512" s="91"/>
      <c r="L512" s="161"/>
      <c r="M512" s="91"/>
      <c r="N512" s="91"/>
      <c r="O512" s="91"/>
      <c r="P512" s="164"/>
    </row>
    <row r="513" spans="1:16" ht="14.45" customHeight="1">
      <c r="A513" s="190"/>
      <c r="B513" s="160"/>
      <c r="C513" s="160"/>
      <c r="D513" s="160"/>
      <c r="E513" s="163"/>
      <c r="F513" s="160"/>
      <c r="G513" s="161"/>
      <c r="H513" s="161"/>
      <c r="I513" s="91"/>
      <c r="J513" s="91"/>
      <c r="K513" s="91"/>
      <c r="L513" s="161"/>
      <c r="M513" s="91"/>
      <c r="N513" s="91"/>
      <c r="O513" s="91"/>
      <c r="P513" s="164"/>
    </row>
    <row r="514" spans="1:16" ht="15">
      <c r="A514" s="194"/>
      <c r="B514" s="185"/>
      <c r="C514" s="185"/>
      <c r="D514" s="185"/>
      <c r="E514" s="186"/>
      <c r="F514" s="185"/>
      <c r="G514" s="188"/>
      <c r="H514" s="188"/>
      <c r="I514" s="2"/>
      <c r="J514" s="2"/>
      <c r="K514" s="2"/>
      <c r="L514" s="188"/>
      <c r="M514" s="2"/>
      <c r="N514" s="2"/>
      <c r="O514" s="2"/>
      <c r="P514" s="189"/>
    </row>
    <row r="515" spans="1:16" ht="15">
      <c r="A515" s="194"/>
      <c r="B515" s="185"/>
      <c r="C515" s="185"/>
      <c r="D515" s="185"/>
      <c r="E515" s="186"/>
      <c r="F515" s="185"/>
      <c r="G515" s="188"/>
      <c r="H515" s="188"/>
      <c r="I515" s="2"/>
      <c r="J515" s="2"/>
      <c r="K515" s="2"/>
      <c r="L515" s="188"/>
      <c r="M515" s="2"/>
      <c r="N515" s="2"/>
      <c r="O515" s="2"/>
      <c r="P515" s="189"/>
    </row>
    <row r="516" spans="1:16" ht="15">
      <c r="A516" s="222"/>
      <c r="B516" s="91"/>
      <c r="C516" s="91"/>
      <c r="D516" s="91"/>
      <c r="E516" s="1"/>
      <c r="F516" s="91"/>
      <c r="G516" s="91"/>
      <c r="H516" s="91"/>
      <c r="I516" s="91"/>
      <c r="J516" s="91"/>
      <c r="K516" s="91"/>
      <c r="L516" s="91"/>
      <c r="M516" s="91"/>
      <c r="N516" s="91"/>
      <c r="O516" s="91"/>
      <c r="P516" s="164"/>
    </row>
    <row r="517" spans="1:16" ht="15">
      <c r="A517" s="222"/>
      <c r="B517" s="91"/>
      <c r="C517" s="91"/>
      <c r="D517" s="91"/>
      <c r="E517" s="1"/>
      <c r="F517" s="91"/>
      <c r="G517" s="91"/>
      <c r="H517" s="91"/>
      <c r="I517" s="91"/>
      <c r="J517" s="91"/>
      <c r="K517" s="91"/>
      <c r="L517" s="91"/>
      <c r="M517" s="91"/>
      <c r="N517" s="91"/>
      <c r="O517" s="91"/>
      <c r="P517" s="164"/>
    </row>
    <row r="518" ht="15">
      <c r="E518" s="3"/>
    </row>
    <row r="519" ht="15">
      <c r="E519" s="3"/>
    </row>
    <row r="520" ht="15">
      <c r="E520" s="3"/>
    </row>
    <row r="521" ht="15">
      <c r="E521" s="3"/>
    </row>
    <row r="522" ht="15">
      <c r="E522" s="3"/>
    </row>
    <row r="523" ht="15">
      <c r="E523" s="3"/>
    </row>
    <row r="524" ht="15">
      <c r="E524" s="3"/>
    </row>
    <row r="525" ht="15">
      <c r="E525" s="3"/>
    </row>
    <row r="526" ht="15">
      <c r="E526" s="3"/>
    </row>
    <row r="527" ht="15">
      <c r="E527" s="3"/>
    </row>
    <row r="528" ht="15">
      <c r="E528" s="3"/>
    </row>
    <row r="529" ht="15">
      <c r="E529" s="3"/>
    </row>
    <row r="530" ht="15">
      <c r="E530" s="3"/>
    </row>
    <row r="531" ht="15">
      <c r="E531" s="3"/>
    </row>
    <row r="532" ht="15">
      <c r="E532" s="3"/>
    </row>
    <row r="533" ht="15">
      <c r="E533" s="3"/>
    </row>
    <row r="534" ht="15">
      <c r="E534" s="3"/>
    </row>
    <row r="535" ht="15">
      <c r="E535" s="3"/>
    </row>
    <row r="536" ht="15">
      <c r="E536" s="3"/>
    </row>
    <row r="537" ht="15">
      <c r="E537" s="3"/>
    </row>
    <row r="538" ht="15">
      <c r="E538" s="3"/>
    </row>
    <row r="539" ht="15">
      <c r="E539" s="3"/>
    </row>
    <row r="540" ht="15">
      <c r="E540" s="3"/>
    </row>
    <row r="541" ht="15">
      <c r="E541" s="3"/>
    </row>
    <row r="542" ht="15">
      <c r="E542" s="3"/>
    </row>
    <row r="543" ht="15">
      <c r="E543" s="3"/>
    </row>
    <row r="544" ht="15">
      <c r="E544" s="3"/>
    </row>
    <row r="545" ht="15">
      <c r="E545" s="3"/>
    </row>
    <row r="546" ht="15">
      <c r="E546" s="3"/>
    </row>
    <row r="547" ht="15">
      <c r="E547" s="3"/>
    </row>
    <row r="548" ht="15">
      <c r="E548" s="3"/>
    </row>
    <row r="549" ht="15">
      <c r="E549" s="3"/>
    </row>
    <row r="550" ht="15">
      <c r="E550" s="3"/>
    </row>
    <row r="551" ht="15">
      <c r="E551" s="3"/>
    </row>
    <row r="552" ht="15">
      <c r="E552" s="3"/>
    </row>
    <row r="553" ht="15">
      <c r="E553" s="3"/>
    </row>
    <row r="554" ht="15">
      <c r="E554" s="3"/>
    </row>
    <row r="555" ht="15">
      <c r="E555" s="3"/>
    </row>
    <row r="556" ht="15">
      <c r="E556" s="3"/>
    </row>
    <row r="557" ht="15">
      <c r="E557" s="3"/>
    </row>
    <row r="558" ht="15">
      <c r="E558" s="3"/>
    </row>
    <row r="559" ht="15">
      <c r="E559" s="3"/>
    </row>
    <row r="560" ht="15">
      <c r="E560" s="3"/>
    </row>
    <row r="561" ht="15">
      <c r="E561" s="3"/>
    </row>
    <row r="562" ht="15">
      <c r="E562" s="3"/>
    </row>
    <row r="563" ht="15">
      <c r="E563" s="3"/>
    </row>
    <row r="564" ht="15">
      <c r="E564" s="3"/>
    </row>
    <row r="565" ht="15">
      <c r="E565" s="3"/>
    </row>
    <row r="566" ht="15">
      <c r="E566" s="3"/>
    </row>
    <row r="567" ht="15">
      <c r="E567" s="3"/>
    </row>
    <row r="568" ht="15">
      <c r="E568" s="3"/>
    </row>
    <row r="569" ht="15">
      <c r="E569" s="3"/>
    </row>
    <row r="570" ht="15">
      <c r="E570" s="3"/>
    </row>
    <row r="571" ht="15">
      <c r="E571" s="3"/>
    </row>
    <row r="572" ht="15">
      <c r="E572" s="3"/>
    </row>
    <row r="573" ht="15">
      <c r="E573" s="3"/>
    </row>
    <row r="574" ht="15">
      <c r="E574" s="3"/>
    </row>
    <row r="575" ht="15">
      <c r="E575" s="3"/>
    </row>
    <row r="576" ht="15">
      <c r="E576" s="3"/>
    </row>
    <row r="577" ht="15">
      <c r="E577" s="3"/>
    </row>
    <row r="578" ht="15">
      <c r="E578" s="3"/>
    </row>
    <row r="579" ht="15">
      <c r="E579" s="3"/>
    </row>
    <row r="580" ht="15">
      <c r="E580" s="3"/>
    </row>
    <row r="581" ht="15">
      <c r="E581" s="3"/>
    </row>
    <row r="582" ht="15">
      <c r="E582" s="3"/>
    </row>
    <row r="583" ht="15">
      <c r="E583" s="3"/>
    </row>
    <row r="584" ht="15">
      <c r="E584" s="3"/>
    </row>
    <row r="585" ht="15">
      <c r="E585" s="3"/>
    </row>
    <row r="586" ht="15">
      <c r="E586" s="3"/>
    </row>
    <row r="587" ht="15">
      <c r="E587" s="3"/>
    </row>
    <row r="588" ht="15">
      <c r="E588" s="3"/>
    </row>
    <row r="589" ht="15">
      <c r="E589" s="3"/>
    </row>
    <row r="590" ht="15">
      <c r="E590" s="3"/>
    </row>
    <row r="591" ht="15">
      <c r="E591" s="3"/>
    </row>
    <row r="592" ht="15">
      <c r="E592" s="3"/>
    </row>
    <row r="593" ht="15">
      <c r="E593" s="3"/>
    </row>
    <row r="594" ht="15">
      <c r="E594" s="3"/>
    </row>
    <row r="595" ht="15">
      <c r="E595" s="3"/>
    </row>
    <row r="596" ht="15">
      <c r="E596" s="3"/>
    </row>
    <row r="597" ht="15">
      <c r="E597" s="3"/>
    </row>
    <row r="598" ht="15">
      <c r="E598" s="3"/>
    </row>
    <row r="599" ht="15">
      <c r="E599" s="3"/>
    </row>
    <row r="600" ht="15">
      <c r="E600" s="3"/>
    </row>
    <row r="601" ht="15">
      <c r="E601" s="3"/>
    </row>
    <row r="602" ht="15">
      <c r="E602" s="3"/>
    </row>
    <row r="603" ht="15">
      <c r="E603" s="3"/>
    </row>
    <row r="604" ht="15">
      <c r="E604" s="3"/>
    </row>
    <row r="605" ht="15">
      <c r="E605" s="3"/>
    </row>
    <row r="606" ht="15">
      <c r="E606" s="3"/>
    </row>
    <row r="607" ht="15">
      <c r="E607" s="3"/>
    </row>
    <row r="608" ht="15">
      <c r="E608" s="3"/>
    </row>
    <row r="609" ht="15">
      <c r="E609" s="3"/>
    </row>
    <row r="610" ht="15">
      <c r="E610" s="3"/>
    </row>
    <row r="611" ht="15">
      <c r="E611" s="3"/>
    </row>
    <row r="612" ht="15">
      <c r="E612" s="3"/>
    </row>
    <row r="613" ht="15">
      <c r="E613" s="3"/>
    </row>
    <row r="614" ht="15">
      <c r="E614" s="3"/>
    </row>
    <row r="615" ht="15">
      <c r="E615" s="3"/>
    </row>
    <row r="616" ht="15">
      <c r="E616" s="3"/>
    </row>
    <row r="617" ht="15">
      <c r="E617" s="3"/>
    </row>
    <row r="618" ht="15">
      <c r="E618" s="3"/>
    </row>
    <row r="619" ht="15">
      <c r="E619" s="3"/>
    </row>
    <row r="620" ht="15">
      <c r="E620" s="3"/>
    </row>
    <row r="621" ht="15">
      <c r="E621" s="3"/>
    </row>
    <row r="622" ht="15">
      <c r="E622" s="3"/>
    </row>
    <row r="623" ht="15">
      <c r="E623" s="3"/>
    </row>
    <row r="624" ht="15">
      <c r="E624" s="3"/>
    </row>
    <row r="625" ht="15">
      <c r="E625" s="3"/>
    </row>
    <row r="626" ht="15">
      <c r="E626" s="3"/>
    </row>
    <row r="627" ht="15">
      <c r="E627" s="3"/>
    </row>
    <row r="628" ht="15">
      <c r="E628" s="3"/>
    </row>
    <row r="629" ht="15">
      <c r="E629" s="3"/>
    </row>
    <row r="630" ht="15">
      <c r="E630" s="3"/>
    </row>
    <row r="631" ht="15">
      <c r="E631" s="3"/>
    </row>
    <row r="632" ht="15">
      <c r="E632" s="3"/>
    </row>
    <row r="633" ht="15">
      <c r="E633" s="3"/>
    </row>
    <row r="634" ht="15">
      <c r="E634" s="3"/>
    </row>
    <row r="635" ht="15">
      <c r="E635" s="3"/>
    </row>
    <row r="636" ht="15">
      <c r="E636" s="3"/>
    </row>
    <row r="637" ht="15">
      <c r="E637" s="3"/>
    </row>
    <row r="638" ht="15">
      <c r="E638" s="3"/>
    </row>
    <row r="639" ht="15">
      <c r="E639" s="3"/>
    </row>
    <row r="640" ht="15">
      <c r="E640" s="3"/>
    </row>
    <row r="641" ht="15">
      <c r="E641" s="3"/>
    </row>
    <row r="642" ht="15">
      <c r="E642" s="3"/>
    </row>
    <row r="643" ht="15">
      <c r="E643" s="3"/>
    </row>
    <row r="644" ht="15">
      <c r="E644" s="3"/>
    </row>
    <row r="645" ht="15">
      <c r="E645" s="3"/>
    </row>
    <row r="646" ht="15">
      <c r="E646" s="3"/>
    </row>
    <row r="647" ht="15">
      <c r="E647" s="3"/>
    </row>
    <row r="648" ht="15">
      <c r="E648" s="3"/>
    </row>
    <row r="649" ht="15">
      <c r="E649" s="3"/>
    </row>
    <row r="650" ht="15">
      <c r="E650" s="3"/>
    </row>
    <row r="651" ht="15">
      <c r="E651" s="3"/>
    </row>
    <row r="652" ht="15">
      <c r="E652" s="3"/>
    </row>
    <row r="653" ht="15">
      <c r="E653" s="3"/>
    </row>
    <row r="654" ht="15">
      <c r="E654" s="3"/>
    </row>
    <row r="655" ht="15">
      <c r="E655" s="3"/>
    </row>
    <row r="656" ht="15">
      <c r="E656" s="3"/>
    </row>
    <row r="657" ht="15">
      <c r="E657" s="3"/>
    </row>
    <row r="658" ht="15">
      <c r="E658" s="3"/>
    </row>
    <row r="659" ht="15">
      <c r="E659" s="3"/>
    </row>
    <row r="660" ht="15">
      <c r="E660" s="3"/>
    </row>
    <row r="661" ht="15">
      <c r="E661" s="3"/>
    </row>
    <row r="662" ht="15">
      <c r="E662" s="3"/>
    </row>
    <row r="663" ht="15">
      <c r="E663" s="3"/>
    </row>
    <row r="664" ht="15">
      <c r="E664" s="3"/>
    </row>
    <row r="665" ht="15">
      <c r="E665" s="3"/>
    </row>
    <row r="666" ht="15">
      <c r="E666" s="3"/>
    </row>
    <row r="667" ht="15">
      <c r="E667" s="3"/>
    </row>
    <row r="668" ht="15">
      <c r="E668" s="3"/>
    </row>
    <row r="669" ht="15">
      <c r="E669" s="3"/>
    </row>
    <row r="670" ht="15">
      <c r="E670" s="3"/>
    </row>
    <row r="671" ht="15">
      <c r="E671" s="3"/>
    </row>
    <row r="672" ht="15">
      <c r="E672" s="3"/>
    </row>
    <row r="673" ht="15">
      <c r="E673" s="3"/>
    </row>
    <row r="674" ht="15">
      <c r="E674" s="3"/>
    </row>
    <row r="675" ht="15">
      <c r="E675" s="3"/>
    </row>
    <row r="676" ht="15">
      <c r="E676" s="3"/>
    </row>
    <row r="677" ht="15">
      <c r="E677" s="3"/>
    </row>
    <row r="678" ht="15">
      <c r="E678" s="3"/>
    </row>
    <row r="679" ht="15">
      <c r="E679" s="3"/>
    </row>
    <row r="680" ht="15">
      <c r="E680" s="3"/>
    </row>
    <row r="681" ht="15">
      <c r="E681" s="3"/>
    </row>
    <row r="682" ht="15">
      <c r="E682" s="3"/>
    </row>
    <row r="683" ht="15">
      <c r="E683" s="3"/>
    </row>
    <row r="684" ht="15">
      <c r="E684" s="3"/>
    </row>
    <row r="685" ht="15">
      <c r="E685" s="3"/>
    </row>
    <row r="686" ht="15">
      <c r="E686" s="3"/>
    </row>
    <row r="687" ht="15">
      <c r="E687" s="3"/>
    </row>
    <row r="688" ht="15">
      <c r="E688" s="3"/>
    </row>
    <row r="689" ht="15">
      <c r="E689" s="3"/>
    </row>
    <row r="690" ht="15">
      <c r="E690" s="3"/>
    </row>
    <row r="691" ht="15">
      <c r="E691" s="3"/>
    </row>
    <row r="692" ht="15">
      <c r="E692" s="3"/>
    </row>
    <row r="693" ht="15">
      <c r="E693" s="3"/>
    </row>
    <row r="694" ht="15">
      <c r="E694" s="3"/>
    </row>
    <row r="695" ht="15">
      <c r="E695" s="3"/>
    </row>
    <row r="696" ht="15">
      <c r="E696" s="3"/>
    </row>
    <row r="697" ht="15">
      <c r="E697" s="3"/>
    </row>
    <row r="698" ht="15">
      <c r="E698" s="3"/>
    </row>
    <row r="699" ht="15">
      <c r="E699" s="3"/>
    </row>
    <row r="700" ht="15">
      <c r="E700" s="3"/>
    </row>
    <row r="701" ht="15">
      <c r="E701" s="3"/>
    </row>
    <row r="702" ht="15">
      <c r="E702" s="3"/>
    </row>
    <row r="703" ht="15">
      <c r="E703" s="3"/>
    </row>
    <row r="704" ht="15">
      <c r="E704" s="3"/>
    </row>
    <row r="705" ht="15">
      <c r="E705" s="3"/>
    </row>
    <row r="706" ht="15">
      <c r="E706" s="3"/>
    </row>
    <row r="707" ht="15">
      <c r="E707" s="3"/>
    </row>
    <row r="708" ht="15">
      <c r="E708" s="3"/>
    </row>
    <row r="709" ht="15">
      <c r="E709" s="3"/>
    </row>
    <row r="710" ht="15">
      <c r="E710" s="3"/>
    </row>
    <row r="711" ht="15">
      <c r="E711" s="3"/>
    </row>
    <row r="712" ht="15">
      <c r="E712" s="3"/>
    </row>
    <row r="713" ht="15">
      <c r="E713" s="3"/>
    </row>
    <row r="714" ht="15">
      <c r="E714" s="3"/>
    </row>
    <row r="715" ht="15">
      <c r="E715" s="3"/>
    </row>
    <row r="716" ht="15">
      <c r="E716" s="3"/>
    </row>
    <row r="717" ht="15">
      <c r="E717" s="3"/>
    </row>
    <row r="718" ht="15">
      <c r="E718" s="3"/>
    </row>
    <row r="719" ht="15">
      <c r="E719" s="3"/>
    </row>
    <row r="720" ht="15">
      <c r="E720" s="3"/>
    </row>
    <row r="721" ht="15">
      <c r="E721" s="3"/>
    </row>
    <row r="722" ht="15">
      <c r="E722" s="3"/>
    </row>
    <row r="723" ht="15">
      <c r="E723" s="3"/>
    </row>
    <row r="724" ht="15">
      <c r="E724" s="3"/>
    </row>
    <row r="725" ht="15">
      <c r="E725" s="3"/>
    </row>
    <row r="726" ht="15">
      <c r="E726" s="3"/>
    </row>
    <row r="727" ht="15">
      <c r="E727" s="3"/>
    </row>
    <row r="728" ht="15">
      <c r="E728" s="3"/>
    </row>
    <row r="729" ht="15">
      <c r="E729" s="3"/>
    </row>
    <row r="730" ht="15">
      <c r="E730" s="3"/>
    </row>
    <row r="731" ht="15">
      <c r="E731" s="3"/>
    </row>
    <row r="732" ht="15">
      <c r="E732" s="3"/>
    </row>
    <row r="733" ht="15">
      <c r="E733" s="3"/>
    </row>
    <row r="734" ht="15">
      <c r="E734" s="3"/>
    </row>
    <row r="735" ht="15">
      <c r="E735" s="3"/>
    </row>
    <row r="736" ht="15">
      <c r="E736" s="3"/>
    </row>
    <row r="737" ht="15">
      <c r="E737" s="3"/>
    </row>
    <row r="738" ht="15">
      <c r="E738" s="3"/>
    </row>
    <row r="739" ht="15">
      <c r="E739" s="3"/>
    </row>
    <row r="740" ht="15">
      <c r="E740" s="3"/>
    </row>
    <row r="741" ht="15">
      <c r="E741" s="3"/>
    </row>
    <row r="742" ht="15">
      <c r="E742" s="3"/>
    </row>
    <row r="743" ht="15">
      <c r="E743" s="3"/>
    </row>
    <row r="744" ht="15">
      <c r="E744" s="3"/>
    </row>
    <row r="745" ht="15">
      <c r="E745" s="3"/>
    </row>
    <row r="746" ht="15">
      <c r="E746" s="3"/>
    </row>
    <row r="747" ht="15">
      <c r="E747" s="3"/>
    </row>
    <row r="748" ht="15">
      <c r="E748" s="3"/>
    </row>
    <row r="749" ht="15">
      <c r="E749" s="3"/>
    </row>
    <row r="750" ht="15">
      <c r="E750" s="3"/>
    </row>
    <row r="751" ht="15">
      <c r="E751" s="3"/>
    </row>
    <row r="752" ht="15">
      <c r="E752" s="3"/>
    </row>
    <row r="753" ht="15">
      <c r="E753" s="3"/>
    </row>
    <row r="754" ht="15">
      <c r="E754" s="3"/>
    </row>
    <row r="755" ht="15">
      <c r="E755" s="3"/>
    </row>
    <row r="756" ht="15">
      <c r="E756" s="3"/>
    </row>
    <row r="757" ht="15">
      <c r="E757" s="3"/>
    </row>
    <row r="758" ht="15">
      <c r="E758" s="3"/>
    </row>
    <row r="759" ht="15">
      <c r="E759" s="3"/>
    </row>
    <row r="760" ht="15">
      <c r="E760" s="3"/>
    </row>
    <row r="761" ht="15">
      <c r="E761" s="3"/>
    </row>
    <row r="762" ht="15">
      <c r="E762" s="3"/>
    </row>
    <row r="763" ht="15">
      <c r="E763" s="3"/>
    </row>
    <row r="764" ht="15">
      <c r="E764" s="3"/>
    </row>
    <row r="765" ht="15">
      <c r="E765" s="3"/>
    </row>
    <row r="766" ht="15">
      <c r="E766" s="3"/>
    </row>
    <row r="767" ht="15">
      <c r="E767" s="3"/>
    </row>
    <row r="768" ht="15">
      <c r="E768" s="3"/>
    </row>
    <row r="769" ht="15">
      <c r="E769" s="3"/>
    </row>
    <row r="770" ht="15">
      <c r="E770" s="3"/>
    </row>
    <row r="771" ht="15">
      <c r="E771" s="3"/>
    </row>
    <row r="772" ht="15">
      <c r="E772" s="3"/>
    </row>
    <row r="773" ht="15">
      <c r="E773" s="3"/>
    </row>
    <row r="774" ht="15">
      <c r="E774" s="3"/>
    </row>
    <row r="775" ht="15">
      <c r="E775" s="3"/>
    </row>
    <row r="776" ht="15">
      <c r="E776" s="3"/>
    </row>
    <row r="777" ht="15">
      <c r="E777" s="3"/>
    </row>
    <row r="778" ht="15">
      <c r="E778" s="3"/>
    </row>
    <row r="779" ht="15">
      <c r="E779" s="3"/>
    </row>
    <row r="780" ht="15">
      <c r="E780" s="3"/>
    </row>
    <row r="781" ht="15">
      <c r="E781" s="3"/>
    </row>
    <row r="782" ht="15">
      <c r="E782" s="3"/>
    </row>
    <row r="783" ht="15">
      <c r="E783" s="3"/>
    </row>
    <row r="784" ht="15">
      <c r="E784" s="3"/>
    </row>
    <row r="785" ht="15">
      <c r="E785" s="3"/>
    </row>
    <row r="786" ht="15">
      <c r="E786" s="3"/>
    </row>
    <row r="787" ht="15">
      <c r="E787" s="3"/>
    </row>
    <row r="788" ht="15">
      <c r="E788" s="3"/>
    </row>
    <row r="789" ht="15">
      <c r="E789" s="3"/>
    </row>
    <row r="790" ht="15">
      <c r="E790" s="3"/>
    </row>
    <row r="791" ht="15">
      <c r="E791" s="3"/>
    </row>
    <row r="792" ht="15">
      <c r="E792" s="3"/>
    </row>
    <row r="793" ht="15">
      <c r="E793" s="3"/>
    </row>
    <row r="794" ht="15">
      <c r="E794" s="3"/>
    </row>
    <row r="795" ht="15">
      <c r="E795" s="3"/>
    </row>
    <row r="796" ht="15">
      <c r="E796" s="3"/>
    </row>
    <row r="797" ht="15">
      <c r="E797" s="3"/>
    </row>
    <row r="798" ht="15">
      <c r="E798" s="3"/>
    </row>
    <row r="799" ht="15">
      <c r="E799" s="3"/>
    </row>
    <row r="800" ht="15">
      <c r="E800" s="3"/>
    </row>
    <row r="801" ht="15">
      <c r="E801" s="3"/>
    </row>
    <row r="802" ht="15">
      <c r="E802" s="3"/>
    </row>
    <row r="803" ht="15">
      <c r="E803" s="3"/>
    </row>
    <row r="804" ht="15">
      <c r="E804" s="3"/>
    </row>
    <row r="805" ht="15">
      <c r="E805" s="3"/>
    </row>
    <row r="806" ht="15">
      <c r="E806" s="3"/>
    </row>
    <row r="807" ht="15">
      <c r="E807" s="3"/>
    </row>
    <row r="808" ht="15">
      <c r="E808" s="3"/>
    </row>
    <row r="809" ht="15">
      <c r="E809" s="3"/>
    </row>
    <row r="810" ht="15">
      <c r="E810" s="3"/>
    </row>
    <row r="811" ht="15">
      <c r="E811" s="3"/>
    </row>
    <row r="812" ht="15">
      <c r="E812" s="3"/>
    </row>
    <row r="813" ht="15">
      <c r="E813" s="3"/>
    </row>
    <row r="814" ht="15">
      <c r="E814" s="3"/>
    </row>
    <row r="815" ht="15">
      <c r="E815" s="3"/>
    </row>
    <row r="816" ht="15">
      <c r="E816" s="3"/>
    </row>
    <row r="817" ht="15">
      <c r="E817" s="3"/>
    </row>
    <row r="818" ht="15">
      <c r="E818" s="3"/>
    </row>
    <row r="819" ht="15">
      <c r="E819" s="3"/>
    </row>
    <row r="820" ht="15">
      <c r="E820" s="3"/>
    </row>
    <row r="821" ht="15">
      <c r="E821" s="3"/>
    </row>
    <row r="822" ht="15">
      <c r="E822" s="3"/>
    </row>
    <row r="823" ht="15">
      <c r="E823" s="3"/>
    </row>
    <row r="824" ht="15">
      <c r="E824" s="3"/>
    </row>
    <row r="825" ht="15">
      <c r="E825" s="3"/>
    </row>
    <row r="826" ht="15">
      <c r="E826" s="3"/>
    </row>
    <row r="827" ht="15">
      <c r="E827" s="3"/>
    </row>
    <row r="828" ht="15">
      <c r="E828" s="3"/>
    </row>
    <row r="829" ht="15">
      <c r="E829" s="3"/>
    </row>
    <row r="830" ht="15">
      <c r="E830" s="3"/>
    </row>
    <row r="831" ht="15">
      <c r="E831" s="3"/>
    </row>
    <row r="832" ht="15">
      <c r="E832" s="3"/>
    </row>
    <row r="833" ht="15">
      <c r="E833" s="3"/>
    </row>
    <row r="834" ht="15">
      <c r="E834" s="3"/>
    </row>
    <row r="835" ht="15">
      <c r="E835" s="3"/>
    </row>
    <row r="836" ht="15">
      <c r="E836" s="3"/>
    </row>
    <row r="837" ht="15">
      <c r="E837" s="3"/>
    </row>
    <row r="838" ht="15">
      <c r="E838" s="3"/>
    </row>
    <row r="839" ht="15">
      <c r="E839" s="3"/>
    </row>
    <row r="840" ht="15">
      <c r="E840" s="3"/>
    </row>
    <row r="841" ht="15">
      <c r="E841" s="3"/>
    </row>
    <row r="842" ht="15">
      <c r="E842" s="3"/>
    </row>
    <row r="843" ht="15">
      <c r="E843" s="3"/>
    </row>
    <row r="844" ht="15">
      <c r="E844" s="3"/>
    </row>
    <row r="845" ht="15">
      <c r="E845" s="3"/>
    </row>
    <row r="846" ht="15">
      <c r="E846" s="3"/>
    </row>
    <row r="847" ht="15">
      <c r="E847" s="3"/>
    </row>
    <row r="848" ht="15">
      <c r="E848" s="3"/>
    </row>
    <row r="849" ht="15">
      <c r="E849" s="3"/>
    </row>
    <row r="850" ht="15">
      <c r="E850" s="3"/>
    </row>
    <row r="851" ht="15">
      <c r="E851" s="3"/>
    </row>
    <row r="852" ht="15">
      <c r="E852" s="3"/>
    </row>
    <row r="853" ht="15">
      <c r="E853" s="3"/>
    </row>
    <row r="854" ht="15">
      <c r="E854" s="3"/>
    </row>
    <row r="855" ht="15">
      <c r="E855" s="3"/>
    </row>
    <row r="856" ht="15">
      <c r="E856" s="3"/>
    </row>
    <row r="857" ht="15">
      <c r="E857" s="3"/>
    </row>
    <row r="858" ht="15">
      <c r="E858" s="3"/>
    </row>
    <row r="859" ht="15">
      <c r="E859" s="3"/>
    </row>
    <row r="860" ht="15">
      <c r="E860" s="3"/>
    </row>
    <row r="861" ht="15">
      <c r="E861" s="3"/>
    </row>
    <row r="862" ht="15">
      <c r="E862" s="3"/>
    </row>
    <row r="863" ht="15">
      <c r="E863" s="3"/>
    </row>
    <row r="864" ht="15">
      <c r="E864" s="3"/>
    </row>
    <row r="865" ht="15">
      <c r="E865" s="3"/>
    </row>
    <row r="866" ht="15">
      <c r="E866" s="3"/>
    </row>
    <row r="867" ht="15">
      <c r="E867" s="3"/>
    </row>
    <row r="868" ht="15">
      <c r="E868" s="3"/>
    </row>
    <row r="869" ht="15">
      <c r="E869" s="3"/>
    </row>
    <row r="870" ht="15">
      <c r="E870" s="3"/>
    </row>
    <row r="871" ht="15">
      <c r="E871" s="3"/>
    </row>
    <row r="872" ht="15">
      <c r="E872" s="3"/>
    </row>
    <row r="873" ht="15">
      <c r="E873" s="3"/>
    </row>
    <row r="874" ht="15">
      <c r="E874" s="3"/>
    </row>
    <row r="875" ht="15">
      <c r="E875" s="3"/>
    </row>
    <row r="876" ht="15">
      <c r="E876" s="3"/>
    </row>
    <row r="877" ht="15">
      <c r="E877" s="3"/>
    </row>
    <row r="878" ht="15">
      <c r="E878" s="3"/>
    </row>
    <row r="879" ht="15">
      <c r="E879" s="3"/>
    </row>
    <row r="880" ht="15">
      <c r="E880" s="3"/>
    </row>
    <row r="881" ht="15">
      <c r="E881" s="3"/>
    </row>
    <row r="882" ht="15">
      <c r="E882" s="3"/>
    </row>
    <row r="883" ht="15">
      <c r="E883" s="3"/>
    </row>
    <row r="884" ht="15">
      <c r="E884" s="3"/>
    </row>
    <row r="885" ht="15">
      <c r="E885" s="3"/>
    </row>
    <row r="886" ht="15">
      <c r="E886" s="3"/>
    </row>
    <row r="887" ht="15">
      <c r="E887" s="3"/>
    </row>
    <row r="888" ht="15">
      <c r="E888" s="3"/>
    </row>
    <row r="889" ht="15">
      <c r="E889" s="3"/>
    </row>
    <row r="890" ht="15">
      <c r="E890" s="3"/>
    </row>
    <row r="891" ht="15">
      <c r="E891" s="3"/>
    </row>
    <row r="892" ht="15">
      <c r="E892" s="3"/>
    </row>
    <row r="893" ht="15">
      <c r="E893" s="3"/>
    </row>
    <row r="894" ht="15">
      <c r="E894" s="3"/>
    </row>
    <row r="895" ht="15">
      <c r="E895" s="3"/>
    </row>
    <row r="896" ht="15">
      <c r="E896" s="3"/>
    </row>
    <row r="897" ht="15">
      <c r="E897" s="3"/>
    </row>
    <row r="898" ht="15">
      <c r="E898" s="3"/>
    </row>
    <row r="899" ht="15">
      <c r="E899" s="3"/>
    </row>
    <row r="900" ht="15">
      <c r="E900" s="3"/>
    </row>
    <row r="901" ht="15">
      <c r="E901" s="3"/>
    </row>
    <row r="902" ht="15">
      <c r="E902" s="3"/>
    </row>
    <row r="903" ht="15">
      <c r="E903" s="3"/>
    </row>
    <row r="904" ht="15">
      <c r="E904" s="3"/>
    </row>
    <row r="905" ht="15">
      <c r="E905" s="3"/>
    </row>
    <row r="906" ht="15">
      <c r="E906" s="3"/>
    </row>
    <row r="907" ht="15">
      <c r="E907" s="3"/>
    </row>
    <row r="908" ht="15">
      <c r="E908" s="3"/>
    </row>
    <row r="909" ht="15">
      <c r="E909" s="3"/>
    </row>
    <row r="910" ht="15">
      <c r="E910" s="3"/>
    </row>
    <row r="911" ht="15">
      <c r="E911" s="3"/>
    </row>
    <row r="912" ht="15">
      <c r="E912" s="3"/>
    </row>
    <row r="913" ht="15">
      <c r="E913" s="3"/>
    </row>
    <row r="914" ht="15">
      <c r="E914" s="3"/>
    </row>
    <row r="915" ht="15">
      <c r="E915" s="3"/>
    </row>
    <row r="916" ht="15">
      <c r="E916" s="3"/>
    </row>
    <row r="917" ht="15">
      <c r="E917" s="3"/>
    </row>
    <row r="918" ht="15">
      <c r="E918" s="3"/>
    </row>
    <row r="919" ht="15">
      <c r="E919" s="3"/>
    </row>
    <row r="920" ht="15">
      <c r="E920" s="3"/>
    </row>
    <row r="921" ht="15">
      <c r="E921" s="3"/>
    </row>
    <row r="922" ht="15">
      <c r="E922" s="3"/>
    </row>
    <row r="923" ht="15">
      <c r="E923" s="3"/>
    </row>
    <row r="924" ht="15">
      <c r="E924" s="3"/>
    </row>
    <row r="925" ht="15">
      <c r="E925" s="3"/>
    </row>
    <row r="926" ht="15">
      <c r="E926" s="3"/>
    </row>
    <row r="927" ht="15">
      <c r="E927" s="3"/>
    </row>
    <row r="928" ht="15">
      <c r="E928" s="3"/>
    </row>
    <row r="929" ht="15">
      <c r="E929" s="3"/>
    </row>
    <row r="930" ht="15">
      <c r="E930" s="3"/>
    </row>
    <row r="931" ht="15">
      <c r="E931" s="3"/>
    </row>
    <row r="932" ht="15">
      <c r="E932" s="3"/>
    </row>
    <row r="933" ht="15">
      <c r="E933" s="3"/>
    </row>
    <row r="934" ht="15">
      <c r="E934" s="3"/>
    </row>
    <row r="935" ht="15">
      <c r="E935" s="3"/>
    </row>
    <row r="936" ht="15">
      <c r="E936" s="3"/>
    </row>
    <row r="937" ht="15">
      <c r="E937" s="3"/>
    </row>
    <row r="938" ht="15">
      <c r="E938" s="3"/>
    </row>
    <row r="939" ht="15">
      <c r="E939" s="3"/>
    </row>
    <row r="940" ht="15">
      <c r="E940" s="3"/>
    </row>
    <row r="941" ht="15">
      <c r="E941" s="3"/>
    </row>
    <row r="942" ht="15">
      <c r="E942" s="3"/>
    </row>
    <row r="943" ht="15">
      <c r="E943" s="3"/>
    </row>
    <row r="944" ht="15">
      <c r="E944" s="3"/>
    </row>
    <row r="945" ht="15">
      <c r="E945" s="3"/>
    </row>
    <row r="946" ht="15">
      <c r="E946" s="3"/>
    </row>
    <row r="947" ht="15">
      <c r="E947" s="3"/>
    </row>
    <row r="948" ht="15">
      <c r="E948" s="3"/>
    </row>
    <row r="949" ht="15">
      <c r="E949" s="3"/>
    </row>
    <row r="950" ht="15">
      <c r="E950" s="3"/>
    </row>
    <row r="951" ht="15">
      <c r="E951" s="3"/>
    </row>
    <row r="952" ht="15">
      <c r="E952" s="3"/>
    </row>
    <row r="953" ht="15">
      <c r="E953" s="3"/>
    </row>
    <row r="954" ht="15">
      <c r="E954" s="3"/>
    </row>
    <row r="955" ht="15">
      <c r="E955" s="3"/>
    </row>
    <row r="956" ht="15">
      <c r="E956" s="3"/>
    </row>
    <row r="957" ht="15">
      <c r="E957" s="3"/>
    </row>
    <row r="958" ht="15">
      <c r="E958" s="3"/>
    </row>
    <row r="959" ht="15">
      <c r="E959" s="3"/>
    </row>
    <row r="960" ht="15">
      <c r="E960" s="3"/>
    </row>
    <row r="961" ht="15">
      <c r="E961" s="3"/>
    </row>
    <row r="962" ht="15">
      <c r="E962" s="3"/>
    </row>
    <row r="963" ht="15">
      <c r="E963" s="3"/>
    </row>
    <row r="964" ht="15">
      <c r="E964" s="3"/>
    </row>
    <row r="965" ht="15">
      <c r="E965" s="3"/>
    </row>
    <row r="966" ht="15">
      <c r="E966" s="3"/>
    </row>
    <row r="967" ht="15">
      <c r="E967" s="3"/>
    </row>
    <row r="968" ht="15">
      <c r="E968" s="3"/>
    </row>
    <row r="969" ht="15">
      <c r="E969" s="3"/>
    </row>
    <row r="970" ht="15">
      <c r="E970" s="3"/>
    </row>
    <row r="971" ht="15">
      <c r="E971" s="3"/>
    </row>
    <row r="972" ht="15">
      <c r="E972" s="3"/>
    </row>
    <row r="973" ht="15">
      <c r="E973" s="3"/>
    </row>
    <row r="974" ht="15">
      <c r="E974" s="3"/>
    </row>
    <row r="975" ht="15">
      <c r="E975" s="3"/>
    </row>
    <row r="976" ht="15">
      <c r="E976" s="3"/>
    </row>
    <row r="977" ht="15">
      <c r="E977" s="3"/>
    </row>
    <row r="978" ht="15">
      <c r="E978" s="3"/>
    </row>
    <row r="979" ht="15">
      <c r="E979" s="3"/>
    </row>
    <row r="980" ht="15">
      <c r="E980" s="3"/>
    </row>
    <row r="981" ht="15">
      <c r="E981" s="3"/>
    </row>
    <row r="982" ht="15">
      <c r="E982" s="3"/>
    </row>
    <row r="983" ht="15">
      <c r="E983" s="3"/>
    </row>
    <row r="984" ht="15">
      <c r="E984" s="3"/>
    </row>
    <row r="985" ht="15">
      <c r="E985" s="3"/>
    </row>
    <row r="986" ht="15">
      <c r="E986" s="3"/>
    </row>
    <row r="987" ht="15">
      <c r="E987" s="3"/>
    </row>
    <row r="988" ht="15">
      <c r="E988" s="3"/>
    </row>
    <row r="989" ht="15">
      <c r="E989" s="3"/>
    </row>
    <row r="990" ht="15">
      <c r="E990" s="3"/>
    </row>
    <row r="991" ht="15">
      <c r="E991" s="3"/>
    </row>
    <row r="992" ht="15">
      <c r="E992" s="3"/>
    </row>
    <row r="993" ht="15">
      <c r="E993" s="3"/>
    </row>
    <row r="994" ht="15">
      <c r="E994" s="3"/>
    </row>
    <row r="995" ht="15">
      <c r="E995" s="3"/>
    </row>
    <row r="996" ht="15">
      <c r="E996" s="3"/>
    </row>
    <row r="997" ht="15">
      <c r="E997" s="3"/>
    </row>
    <row r="998" ht="15">
      <c r="E998" s="3"/>
    </row>
    <row r="999" ht="15">
      <c r="E999" s="3"/>
    </row>
    <row r="1000" ht="15">
      <c r="E1000" s="3"/>
    </row>
    <row r="1001" ht="15">
      <c r="E1001" s="3"/>
    </row>
    <row r="1002" ht="15">
      <c r="E1002" s="3"/>
    </row>
    <row r="1003" ht="15">
      <c r="E1003" s="3"/>
    </row>
    <row r="1004" ht="15">
      <c r="E1004" s="3"/>
    </row>
    <row r="1005" ht="15">
      <c r="E1005" s="3"/>
    </row>
    <row r="1006" ht="15">
      <c r="E1006" s="3"/>
    </row>
    <row r="1007" ht="15">
      <c r="E1007" s="3"/>
    </row>
    <row r="1008" ht="15">
      <c r="E1008" s="3"/>
    </row>
    <row r="1009" ht="15">
      <c r="E1009" s="3"/>
    </row>
    <row r="1010" ht="15">
      <c r="E1010" s="3"/>
    </row>
    <row r="1011" ht="15">
      <c r="E1011" s="3"/>
    </row>
    <row r="1012" ht="15">
      <c r="E1012" s="3"/>
    </row>
    <row r="1013" ht="15">
      <c r="E1013" s="3"/>
    </row>
    <row r="1014" ht="15">
      <c r="E1014" s="3"/>
    </row>
    <row r="1015" ht="15">
      <c r="E1015" s="3"/>
    </row>
    <row r="1016" ht="15">
      <c r="E1016" s="3"/>
    </row>
    <row r="1017" ht="15">
      <c r="E1017" s="3"/>
    </row>
    <row r="1018" ht="15">
      <c r="E1018" s="3"/>
    </row>
    <row r="1019" ht="15">
      <c r="E1019" s="3"/>
    </row>
    <row r="1020" ht="15">
      <c r="E1020" s="3"/>
    </row>
    <row r="1021" ht="15">
      <c r="E1021" s="3"/>
    </row>
    <row r="1022" ht="15">
      <c r="E1022" s="3"/>
    </row>
    <row r="1023" ht="15">
      <c r="E1023" s="3"/>
    </row>
    <row r="1024" ht="15">
      <c r="E1024" s="3"/>
    </row>
    <row r="1025" ht="15">
      <c r="E1025" s="3"/>
    </row>
    <row r="1026" ht="15">
      <c r="E1026" s="3"/>
    </row>
    <row r="1027" ht="15">
      <c r="E1027" s="3"/>
    </row>
    <row r="1028" ht="15">
      <c r="E1028" s="3"/>
    </row>
    <row r="1029" ht="15">
      <c r="E1029" s="3"/>
    </row>
    <row r="1030" ht="15">
      <c r="E1030" s="3"/>
    </row>
    <row r="1031" ht="15">
      <c r="E1031" s="3"/>
    </row>
    <row r="1032" ht="15">
      <c r="E1032" s="3"/>
    </row>
    <row r="1033" ht="15">
      <c r="E1033" s="3"/>
    </row>
    <row r="1034" ht="15">
      <c r="E1034" s="3"/>
    </row>
    <row r="1035" ht="15">
      <c r="E1035" s="3"/>
    </row>
    <row r="1036" ht="15">
      <c r="E1036" s="3"/>
    </row>
    <row r="1037" ht="15">
      <c r="E1037" s="3"/>
    </row>
    <row r="1038" ht="15">
      <c r="E1038" s="3"/>
    </row>
    <row r="1039" ht="15">
      <c r="E1039" s="3"/>
    </row>
    <row r="1040" ht="15">
      <c r="E1040" s="3"/>
    </row>
    <row r="1041" ht="15">
      <c r="E1041" s="3"/>
    </row>
    <row r="1042" ht="15">
      <c r="E1042" s="3"/>
    </row>
    <row r="1043" ht="15">
      <c r="E1043" s="3"/>
    </row>
    <row r="1044" ht="15">
      <c r="E1044" s="3"/>
    </row>
    <row r="1045" ht="15">
      <c r="E1045" s="3"/>
    </row>
    <row r="1046" ht="15">
      <c r="E1046" s="3"/>
    </row>
    <row r="1047" ht="15">
      <c r="E1047" s="3"/>
    </row>
    <row r="1048" ht="15">
      <c r="E1048" s="3"/>
    </row>
    <row r="1049" ht="15">
      <c r="E1049" s="3"/>
    </row>
    <row r="1050" ht="15">
      <c r="E1050" s="3"/>
    </row>
    <row r="1051" ht="15">
      <c r="E1051" s="3"/>
    </row>
    <row r="1052" ht="15">
      <c r="E1052" s="3"/>
    </row>
    <row r="1053" ht="15">
      <c r="E1053" s="3"/>
    </row>
    <row r="1054" ht="15">
      <c r="E1054" s="3"/>
    </row>
    <row r="1055" ht="15">
      <c r="E1055" s="3"/>
    </row>
    <row r="1056" ht="15">
      <c r="E1056" s="3"/>
    </row>
    <row r="1057" ht="15">
      <c r="E1057" s="3"/>
    </row>
    <row r="1058" ht="15">
      <c r="E1058" s="3"/>
    </row>
    <row r="1059" ht="15">
      <c r="E1059" s="3"/>
    </row>
    <row r="1060" ht="15">
      <c r="E1060" s="3"/>
    </row>
    <row r="1061" ht="15">
      <c r="E1061" s="3"/>
    </row>
    <row r="1062" ht="15">
      <c r="E1062" s="3"/>
    </row>
    <row r="1063" ht="15">
      <c r="E1063" s="3"/>
    </row>
    <row r="1064" ht="15">
      <c r="E1064" s="3"/>
    </row>
    <row r="1065" ht="15">
      <c r="E1065" s="3"/>
    </row>
    <row r="1066" ht="15">
      <c r="E1066" s="3"/>
    </row>
    <row r="1067" ht="15">
      <c r="E1067" s="3"/>
    </row>
    <row r="1068" ht="15">
      <c r="E1068" s="3"/>
    </row>
    <row r="1069" ht="15">
      <c r="E1069" s="3"/>
    </row>
    <row r="1070" ht="15">
      <c r="E1070" s="3"/>
    </row>
    <row r="1071" ht="15">
      <c r="E1071" s="3"/>
    </row>
    <row r="1072" ht="15">
      <c r="E1072" s="3"/>
    </row>
    <row r="1073" ht="15">
      <c r="E1073" s="3"/>
    </row>
    <row r="1074" ht="15">
      <c r="E1074" s="3"/>
    </row>
    <row r="1075" ht="15">
      <c r="E1075" s="3"/>
    </row>
    <row r="1076" ht="15">
      <c r="E1076" s="3"/>
    </row>
    <row r="1077" ht="15">
      <c r="E1077" s="3"/>
    </row>
    <row r="1078" ht="15">
      <c r="E1078" s="3"/>
    </row>
    <row r="1079" ht="15">
      <c r="E1079" s="3"/>
    </row>
    <row r="1080" ht="15">
      <c r="E1080" s="3"/>
    </row>
    <row r="1081" ht="15">
      <c r="E1081" s="3"/>
    </row>
    <row r="1082" ht="15">
      <c r="E1082" s="3"/>
    </row>
    <row r="1083" ht="15">
      <c r="E1083" s="3"/>
    </row>
    <row r="1084" ht="15">
      <c r="E1084" s="3"/>
    </row>
    <row r="1085" ht="15">
      <c r="E1085" s="3"/>
    </row>
    <row r="1086" ht="15">
      <c r="E1086" s="3"/>
    </row>
    <row r="1087" ht="15">
      <c r="E1087" s="3"/>
    </row>
    <row r="1088" ht="15">
      <c r="E1088" s="3"/>
    </row>
    <row r="1089" ht="15">
      <c r="E1089" s="3"/>
    </row>
    <row r="1090" ht="15">
      <c r="E1090" s="3"/>
    </row>
    <row r="1091" ht="15">
      <c r="E1091" s="3"/>
    </row>
    <row r="1092" ht="15">
      <c r="E1092" s="3"/>
    </row>
    <row r="1093" ht="15">
      <c r="E1093" s="3"/>
    </row>
    <row r="1094" ht="15">
      <c r="E1094" s="3"/>
    </row>
    <row r="1095" ht="15">
      <c r="E1095" s="3"/>
    </row>
    <row r="1096" ht="15">
      <c r="E1096" s="3"/>
    </row>
    <row r="1097" ht="15">
      <c r="E1097" s="3"/>
    </row>
    <row r="1098" ht="15">
      <c r="E1098" s="3"/>
    </row>
    <row r="1099" ht="15">
      <c r="E1099" s="3"/>
    </row>
    <row r="1100" ht="15">
      <c r="E1100" s="3"/>
    </row>
    <row r="1101" ht="15">
      <c r="E1101" s="3"/>
    </row>
    <row r="1102" ht="15">
      <c r="E1102" s="3"/>
    </row>
    <row r="1103" ht="15">
      <c r="E1103" s="3"/>
    </row>
    <row r="1104" ht="15">
      <c r="E1104" s="3"/>
    </row>
    <row r="1105" ht="15">
      <c r="E1105" s="3"/>
    </row>
    <row r="1106" ht="15">
      <c r="E1106" s="3"/>
    </row>
    <row r="1107" ht="15">
      <c r="E1107" s="3"/>
    </row>
    <row r="1108" ht="15">
      <c r="E1108" s="3"/>
    </row>
    <row r="1109" ht="15">
      <c r="E1109" s="3"/>
    </row>
    <row r="1110" ht="15">
      <c r="E1110" s="3"/>
    </row>
    <row r="1111" ht="15">
      <c r="E1111" s="3"/>
    </row>
    <row r="1112" ht="15">
      <c r="E1112" s="3"/>
    </row>
    <row r="1113" ht="15">
      <c r="E1113" s="3"/>
    </row>
    <row r="1114" ht="15">
      <c r="E1114" s="3"/>
    </row>
    <row r="1115" ht="15">
      <c r="E1115" s="3"/>
    </row>
    <row r="1116" ht="15">
      <c r="E1116" s="3"/>
    </row>
    <row r="1117" ht="15">
      <c r="E1117" s="3"/>
    </row>
    <row r="1118" ht="15">
      <c r="E1118" s="3"/>
    </row>
    <row r="1119" ht="15">
      <c r="E1119" s="3"/>
    </row>
    <row r="1120" ht="15">
      <c r="E1120" s="3"/>
    </row>
    <row r="1121" ht="15">
      <c r="E1121" s="3"/>
    </row>
    <row r="1122" ht="15">
      <c r="E1122" s="3"/>
    </row>
    <row r="1123" ht="15">
      <c r="E1123" s="3"/>
    </row>
    <row r="1124" ht="15">
      <c r="E1124" s="3"/>
    </row>
    <row r="1125" ht="15">
      <c r="E1125" s="3"/>
    </row>
    <row r="1126" ht="15">
      <c r="E1126" s="3"/>
    </row>
    <row r="1127" ht="15">
      <c r="E1127" s="3"/>
    </row>
    <row r="1128" ht="15">
      <c r="E1128" s="3"/>
    </row>
    <row r="1129" ht="15">
      <c r="E1129" s="3"/>
    </row>
    <row r="1130" ht="15">
      <c r="E1130" s="3"/>
    </row>
    <row r="1131" ht="15">
      <c r="E1131" s="3"/>
    </row>
    <row r="1132" ht="15">
      <c r="E1132" s="3"/>
    </row>
    <row r="1133" ht="15">
      <c r="E1133" s="3"/>
    </row>
    <row r="1134" ht="15">
      <c r="E1134" s="3"/>
    </row>
    <row r="1135" ht="15">
      <c r="E1135" s="3"/>
    </row>
    <row r="1136" ht="15">
      <c r="E1136" s="3"/>
    </row>
    <row r="1137" ht="15">
      <c r="E1137" s="3"/>
    </row>
    <row r="1138" ht="15">
      <c r="E1138" s="3"/>
    </row>
    <row r="1139" ht="15">
      <c r="E1139" s="3"/>
    </row>
    <row r="1140" ht="15">
      <c r="E1140" s="3"/>
    </row>
    <row r="1141" ht="15">
      <c r="E1141" s="3"/>
    </row>
    <row r="1142" ht="15">
      <c r="E1142" s="3"/>
    </row>
    <row r="1143" ht="15">
      <c r="E1143" s="3"/>
    </row>
    <row r="1144" ht="15">
      <c r="E1144" s="3"/>
    </row>
    <row r="1145" ht="15">
      <c r="E1145" s="3"/>
    </row>
    <row r="1146" ht="15">
      <c r="E1146" s="3"/>
    </row>
    <row r="1147" ht="15">
      <c r="E1147" s="3"/>
    </row>
    <row r="1148" ht="15">
      <c r="E1148" s="3"/>
    </row>
    <row r="1149" ht="15">
      <c r="E1149" s="3"/>
    </row>
    <row r="1150" ht="15">
      <c r="E1150" s="3"/>
    </row>
    <row r="1151" ht="15">
      <c r="E1151" s="3"/>
    </row>
    <row r="1152" ht="15">
      <c r="E1152" s="3"/>
    </row>
    <row r="1153" ht="15">
      <c r="E1153" s="3"/>
    </row>
    <row r="1154" ht="15">
      <c r="E1154" s="3"/>
    </row>
    <row r="1155" ht="15">
      <c r="E1155" s="3"/>
    </row>
    <row r="1156" ht="15">
      <c r="E1156" s="3"/>
    </row>
    <row r="1157" ht="15">
      <c r="E1157" s="3"/>
    </row>
    <row r="1158" ht="15">
      <c r="E1158" s="3"/>
    </row>
    <row r="1159" ht="15">
      <c r="E1159" s="3"/>
    </row>
    <row r="1160" ht="15">
      <c r="E1160" s="3"/>
    </row>
    <row r="1161" ht="15">
      <c r="E1161" s="3"/>
    </row>
    <row r="1162" ht="15">
      <c r="E1162" s="3"/>
    </row>
    <row r="1163" ht="15">
      <c r="E1163" s="3"/>
    </row>
    <row r="1164" ht="15">
      <c r="E1164" s="3"/>
    </row>
    <row r="1165" ht="15">
      <c r="E1165" s="3"/>
    </row>
    <row r="1166" ht="15">
      <c r="E1166" s="3"/>
    </row>
    <row r="1167" ht="15">
      <c r="E1167" s="3"/>
    </row>
    <row r="1168" ht="15">
      <c r="E1168" s="3"/>
    </row>
    <row r="1169" ht="15">
      <c r="E1169" s="3"/>
    </row>
    <row r="1170" ht="15">
      <c r="E1170" s="3"/>
    </row>
    <row r="1171" ht="15">
      <c r="E1171" s="3"/>
    </row>
    <row r="1172" ht="15">
      <c r="E1172" s="3"/>
    </row>
    <row r="1173" ht="15">
      <c r="E1173" s="3"/>
    </row>
    <row r="1174" ht="15">
      <c r="E1174" s="3"/>
    </row>
    <row r="1175" ht="15">
      <c r="E1175" s="3"/>
    </row>
    <row r="1176" ht="15">
      <c r="E1176" s="3"/>
    </row>
    <row r="1177" ht="15">
      <c r="E1177" s="3"/>
    </row>
    <row r="1178" ht="15">
      <c r="E1178" s="3"/>
    </row>
    <row r="1179" ht="15">
      <c r="E1179" s="3"/>
    </row>
    <row r="1180" ht="15">
      <c r="E1180" s="3"/>
    </row>
    <row r="1181" ht="15">
      <c r="E1181" s="3"/>
    </row>
    <row r="1182" ht="15">
      <c r="E1182" s="3"/>
    </row>
    <row r="1183" ht="15">
      <c r="E1183" s="3"/>
    </row>
    <row r="1184" ht="15">
      <c r="E1184" s="3"/>
    </row>
    <row r="1185" ht="15">
      <c r="E1185" s="3"/>
    </row>
    <row r="1186" ht="15">
      <c r="E1186" s="3"/>
    </row>
    <row r="1187" ht="15">
      <c r="E1187" s="3"/>
    </row>
    <row r="1188" ht="15">
      <c r="E1188" s="3"/>
    </row>
    <row r="1189" ht="15">
      <c r="E1189" s="3"/>
    </row>
    <row r="1190" ht="15">
      <c r="E1190" s="3"/>
    </row>
    <row r="1191" ht="15">
      <c r="E1191" s="3"/>
    </row>
    <row r="1192" ht="15">
      <c r="E1192" s="3"/>
    </row>
    <row r="1193" ht="15">
      <c r="E1193" s="3"/>
    </row>
    <row r="1194" ht="15">
      <c r="E1194" s="3"/>
    </row>
    <row r="1195" ht="15">
      <c r="E1195" s="3"/>
    </row>
    <row r="1196" ht="15">
      <c r="E1196" s="3"/>
    </row>
    <row r="1197" ht="15">
      <c r="E1197" s="3"/>
    </row>
    <row r="1198" ht="15">
      <c r="E1198" s="3"/>
    </row>
    <row r="1199" ht="15">
      <c r="E1199" s="3"/>
    </row>
    <row r="1200" ht="15">
      <c r="E1200" s="3"/>
    </row>
    <row r="1201" ht="15">
      <c r="E1201" s="3"/>
    </row>
    <row r="1202" ht="15">
      <c r="E1202" s="3"/>
    </row>
    <row r="1203" ht="15">
      <c r="E1203" s="3"/>
    </row>
    <row r="1204" ht="15">
      <c r="E1204" s="3"/>
    </row>
    <row r="1205" ht="15">
      <c r="E1205" s="3"/>
    </row>
    <row r="1206" ht="15">
      <c r="E1206" s="3"/>
    </row>
    <row r="1207" ht="15">
      <c r="E1207" s="3"/>
    </row>
    <row r="1208" ht="15">
      <c r="E1208" s="3"/>
    </row>
    <row r="1209" ht="15">
      <c r="E1209" s="3"/>
    </row>
    <row r="1210" ht="15">
      <c r="E1210" s="3"/>
    </row>
  </sheetData>
  <mergeCells count="1">
    <mergeCell ref="A3:C3"/>
  </mergeCells>
  <dataValidations count="4">
    <dataValidation type="list" showInputMessage="1" showErrorMessage="1" sqref="E35:E45 F29:F45 E432:F1210 E244:F291">
      <formula1>INDIRECT(D29)</formula1>
    </dataValidation>
    <dataValidation type="list" allowBlank="1" showInputMessage="1" showErrorMessage="1" sqref="E198:F207 E5:F28 E29:E34">
      <formula1>INDIRECT(D5)</formula1>
    </dataValidation>
    <dataValidation type="list" allowBlank="1" showInputMessage="1" showErrorMessage="1" sqref="C323:C332 D333:D1210 D5:D207 D292:D322">
      <formula1>list!$A$2:$A$3</formula1>
    </dataValidation>
    <dataValidation type="list" allowBlank="1" showInputMessage="1" showErrorMessage="1" sqref="D208:D291">
      <formula1>[1]list!#REF!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G107"/>
  <sheetViews>
    <sheetView showZeros="0" zoomScale="60" zoomScaleNormal="60" workbookViewId="0" topLeftCell="A1">
      <pane ySplit="2" topLeftCell="A9" activePane="bottomLeft" state="frozen"/>
      <selection pane="bottomLeft" activeCell="M17" sqref="M7:M17"/>
    </sheetView>
  </sheetViews>
  <sheetFormatPr defaultColWidth="9.140625" defaultRowHeight="15"/>
  <cols>
    <col min="1" max="1" width="19.421875" style="0" customWidth="1"/>
    <col min="2" max="2" width="24.57421875" style="0" customWidth="1"/>
    <col min="3" max="3" width="25.8515625" style="0" customWidth="1"/>
    <col min="4" max="4" width="13.7109375" style="0" customWidth="1"/>
    <col min="5" max="5" width="12.140625" style="0" customWidth="1"/>
    <col min="6" max="6" width="15.8515625" style="0" customWidth="1"/>
    <col min="7" max="7" width="11.57421875" style="0" customWidth="1"/>
    <col min="8" max="8" width="19.421875" style="0" customWidth="1"/>
    <col min="9" max="9" width="21.28125" style="0" customWidth="1"/>
    <col min="10" max="10" width="21.57421875" style="0" customWidth="1"/>
    <col min="11" max="11" width="10.140625" style="0" customWidth="1"/>
    <col min="12" max="12" width="18.421875" style="0" customWidth="1"/>
    <col min="13" max="13" width="11.7109375" style="0" customWidth="1"/>
    <col min="14" max="14" width="8.8515625" style="0" customWidth="1"/>
    <col min="15" max="15" width="12.421875" style="238" customWidth="1"/>
    <col min="16" max="16" width="12.421875" style="0" hidden="1" customWidth="1"/>
    <col min="17" max="17" width="12.421875" style="0" customWidth="1"/>
  </cols>
  <sheetData>
    <row r="1" spans="1:59" s="2" customFormat="1" ht="36">
      <c r="A1" s="282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38"/>
      <c r="R1" s="238"/>
      <c r="S1" s="238"/>
      <c r="T1" s="238"/>
      <c r="U1" s="238"/>
      <c r="BF1" s="283"/>
      <c r="BG1" s="283"/>
    </row>
    <row r="2" spans="1:59" s="2" customFormat="1" ht="36">
      <c r="A2" s="282" t="s">
        <v>821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38"/>
      <c r="R2" s="238"/>
      <c r="S2" s="238"/>
      <c r="T2" s="238"/>
      <c r="U2" s="238"/>
      <c r="BF2" s="283"/>
      <c r="BG2" s="283"/>
    </row>
    <row r="3" spans="1:59" s="39" customFormat="1" ht="18" customHeight="1">
      <c r="A3" s="328" t="str">
        <f>Report_Date</f>
        <v>Juin 2013</v>
      </c>
      <c r="B3" s="328"/>
      <c r="C3" s="328"/>
      <c r="D3" s="182"/>
      <c r="E3" s="182"/>
      <c r="F3" s="182"/>
      <c r="G3" s="182"/>
      <c r="H3" s="182"/>
      <c r="I3" s="182"/>
      <c r="J3" s="182"/>
      <c r="L3" s="182"/>
      <c r="M3" s="182"/>
      <c r="N3" s="182"/>
      <c r="O3" s="182"/>
      <c r="P3" s="182"/>
      <c r="Q3" s="182"/>
      <c r="R3" s="182"/>
      <c r="S3" s="284"/>
      <c r="T3" s="182"/>
      <c r="U3" s="182"/>
      <c r="BF3" s="284"/>
      <c r="BG3" s="284"/>
    </row>
    <row r="4" spans="1:59" s="39" customFormat="1" ht="33" customHeight="1">
      <c r="A4" s="295"/>
      <c r="B4" s="295"/>
      <c r="C4" s="295"/>
      <c r="D4" s="182"/>
      <c r="E4" s="182"/>
      <c r="F4" s="182"/>
      <c r="G4" s="182"/>
      <c r="H4" s="182"/>
      <c r="I4" s="182"/>
      <c r="J4" s="182"/>
      <c r="L4" s="182"/>
      <c r="M4" s="182"/>
      <c r="N4" s="182"/>
      <c r="O4" s="182"/>
      <c r="P4" s="182"/>
      <c r="Q4" s="182"/>
      <c r="R4" s="182"/>
      <c r="S4" s="284"/>
      <c r="T4" s="182"/>
      <c r="U4" s="182"/>
      <c r="BF4" s="284"/>
      <c r="BG4" s="284"/>
    </row>
    <row r="5" spans="1:15" ht="31.5">
      <c r="A5" s="275" t="s">
        <v>434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</row>
    <row r="6" spans="1:16" ht="38.25">
      <c r="A6" s="23" t="s">
        <v>1</v>
      </c>
      <c r="B6" s="23" t="s">
        <v>822</v>
      </c>
      <c r="C6" s="23" t="s">
        <v>823</v>
      </c>
      <c r="D6" s="23" t="s">
        <v>825</v>
      </c>
      <c r="E6" s="23" t="s">
        <v>819</v>
      </c>
      <c r="F6" s="23" t="s">
        <v>820</v>
      </c>
      <c r="G6" s="23" t="s">
        <v>818</v>
      </c>
      <c r="H6" s="23" t="s">
        <v>826</v>
      </c>
      <c r="I6" s="23" t="s">
        <v>827</v>
      </c>
      <c r="J6" s="23" t="s">
        <v>828</v>
      </c>
      <c r="K6" s="23" t="s">
        <v>829</v>
      </c>
      <c r="L6" s="23" t="s">
        <v>824</v>
      </c>
      <c r="M6" s="34" t="s">
        <v>1258</v>
      </c>
      <c r="N6" s="34" t="s">
        <v>1257</v>
      </c>
      <c r="O6" s="34" t="s">
        <v>1259</v>
      </c>
      <c r="P6" s="238"/>
    </row>
    <row r="7" spans="1:16" ht="15">
      <c r="A7" s="26" t="s">
        <v>452</v>
      </c>
      <c r="B7" s="257">
        <f>SUMIF(Camplist_Township,Shelter_Progress!$A7,Camplist_HH)</f>
        <v>872</v>
      </c>
      <c r="C7" s="257">
        <f>SUMIF(Camplist_Township,Shelter_Progress!$A7,Camplist_Popl)</f>
        <v>5152</v>
      </c>
      <c r="D7" s="324">
        <f aca="true" t="shared" si="0" ref="D7:D16">SUMIF(Col_Shelter_Township,$A7,Col_Shelter_Tent_Dist)</f>
        <v>0</v>
      </c>
      <c r="E7" s="324">
        <f aca="true" t="shared" si="1" ref="E7:E16">SUMIF(Col_Shelter_Township,$A7,Col_Shelter_Temp_B)</f>
        <v>21</v>
      </c>
      <c r="F7" s="324">
        <f aca="true" t="shared" si="2" ref="F7:F16">SUMIF(Col_Shelter_Township,$A7,Col_Shelter_Temp_U)</f>
        <v>52</v>
      </c>
      <c r="G7" s="324">
        <f aca="true" t="shared" si="3" ref="G7:G16">SUMIF(Col_Shelter_Township,$A7,Col_Shelter_Temp_P)</f>
        <v>84</v>
      </c>
      <c r="H7" s="324">
        <f aca="true" t="shared" si="4" ref="H7:H16">SUMIF(Col_Shelter_Township,$A7,Col_Shelter_Perm_B)</f>
        <v>0</v>
      </c>
      <c r="I7" s="324">
        <f aca="true" t="shared" si="5" ref="I7:I16">SUMIF(Col_Shelter_Township,$A7,Col_Shelter_Perm_U)</f>
        <v>0</v>
      </c>
      <c r="J7" s="324">
        <f aca="true" t="shared" si="6" ref="J7:J15">SUMIF(Col_Shelter_Township,$A7,Col_Shelter_Perm_P)</f>
        <v>0</v>
      </c>
      <c r="K7" s="324">
        <f>SUMIF(Col_Shelter_Township,$A7,Shelter_HH_Covered)</f>
        <v>584</v>
      </c>
      <c r="L7" s="324">
        <f>K7*P7</f>
        <v>3450.422018348624</v>
      </c>
      <c r="M7" s="323">
        <f>B7-K7</f>
        <v>288</v>
      </c>
      <c r="N7" s="246">
        <f>K7/B7</f>
        <v>0.6697247706422018</v>
      </c>
      <c r="O7" s="323">
        <f>MAX(0,C7-L7)</f>
        <v>1701.577981651376</v>
      </c>
      <c r="P7" s="125">
        <f>C7/B7</f>
        <v>5.908256880733945</v>
      </c>
    </row>
    <row r="8" spans="1:18" ht="15" customHeight="1">
      <c r="A8" s="24" t="s">
        <v>453</v>
      </c>
      <c r="B8" s="257">
        <f>SUMIF(Camplist_Township,Shelter_Progress!$A8,Camplist_HH)</f>
        <v>643</v>
      </c>
      <c r="C8" s="257">
        <f>SUMIF(Camplist_Township,Shelter_Progress!$A8,Camplist_Popl)</f>
        <v>4135</v>
      </c>
      <c r="D8" s="324">
        <f t="shared" si="0"/>
        <v>0</v>
      </c>
      <c r="E8" s="324">
        <f t="shared" si="1"/>
        <v>9</v>
      </c>
      <c r="F8" s="324">
        <f t="shared" si="2"/>
        <v>30</v>
      </c>
      <c r="G8" s="324">
        <f t="shared" si="3"/>
        <v>72</v>
      </c>
      <c r="H8" s="324">
        <f t="shared" si="4"/>
        <v>0</v>
      </c>
      <c r="I8" s="324">
        <f t="shared" si="5"/>
        <v>0</v>
      </c>
      <c r="J8" s="324">
        <f t="shared" si="6"/>
        <v>0</v>
      </c>
      <c r="K8" s="324">
        <f>SUMIF(Col_Shelter_Township,$A8,Shelter_HH_Covered)</f>
        <v>312</v>
      </c>
      <c r="L8" s="324">
        <f aca="true" t="shared" si="7" ref="L8:L16">K8*P8</f>
        <v>2006.407465007776</v>
      </c>
      <c r="M8" s="323">
        <f>B8-K8</f>
        <v>331</v>
      </c>
      <c r="N8" s="246">
        <f aca="true" t="shared" si="8" ref="N8:N16">K8/B8</f>
        <v>0.48522550544323484</v>
      </c>
      <c r="O8" s="323">
        <f>MAX(0,C8-L8)</f>
        <v>2128.592534992224</v>
      </c>
      <c r="P8" s="125">
        <f aca="true" t="shared" si="9" ref="P8:P17">C8/B8</f>
        <v>6.430793157076205</v>
      </c>
      <c r="R8" s="168"/>
    </row>
    <row r="9" spans="1:18" ht="15">
      <c r="A9" s="25" t="s">
        <v>454</v>
      </c>
      <c r="B9" s="257">
        <f>SUMIF(Camplist_Township,Shelter_Progress!$A9,Camplist_HH)</f>
        <v>749</v>
      </c>
      <c r="C9" s="257">
        <f>SUMIF(Camplist_Township,Shelter_Progress!$A9,Camplist_Popl)</f>
        <v>4169</v>
      </c>
      <c r="D9" s="324">
        <f t="shared" si="0"/>
        <v>0</v>
      </c>
      <c r="E9" s="324">
        <f t="shared" si="1"/>
        <v>76</v>
      </c>
      <c r="F9" s="324">
        <f t="shared" si="2"/>
        <v>13</v>
      </c>
      <c r="G9" s="324">
        <f t="shared" si="3"/>
        <v>95</v>
      </c>
      <c r="H9" s="324">
        <f t="shared" si="4"/>
        <v>0</v>
      </c>
      <c r="I9" s="324">
        <f t="shared" si="5"/>
        <v>0</v>
      </c>
      <c r="J9" s="324">
        <f t="shared" si="6"/>
        <v>0</v>
      </c>
      <c r="K9" s="324">
        <f aca="true" t="shared" si="10" ref="K9:K16">SUMIF(Col_Shelter_Township,$A9,Shelter_HH_Covered)</f>
        <v>712</v>
      </c>
      <c r="L9" s="324">
        <f t="shared" si="7"/>
        <v>3963.0547396528705</v>
      </c>
      <c r="M9" s="323">
        <f aca="true" t="shared" si="11" ref="M9:M16">B9-K9</f>
        <v>37</v>
      </c>
      <c r="N9" s="246">
        <f t="shared" si="8"/>
        <v>0.9506008010680908</v>
      </c>
      <c r="O9" s="323">
        <f aca="true" t="shared" si="12" ref="O9:O16">MAX(0,C9-L9)</f>
        <v>205.94526034712953</v>
      </c>
      <c r="P9" s="125">
        <f t="shared" si="9"/>
        <v>5.566088117489986</v>
      </c>
      <c r="R9" s="168"/>
    </row>
    <row r="10" spans="1:18" ht="15">
      <c r="A10" s="25" t="s">
        <v>455</v>
      </c>
      <c r="B10" s="257">
        <f>SUMIF(Camplist_Township,Shelter_Progress!$A10,Camplist_HH)</f>
        <v>3736</v>
      </c>
      <c r="C10" s="257">
        <f>SUMIF(Camplist_Township,Shelter_Progress!$A10,Camplist_Popl)</f>
        <v>19976</v>
      </c>
      <c r="D10" s="324">
        <f t="shared" si="0"/>
        <v>0</v>
      </c>
      <c r="E10" s="324">
        <f>SUMIF(Col_Shelter_Township,$A10,Col_Shelter_Temp_B)</f>
        <v>48</v>
      </c>
      <c r="F10" s="324">
        <f t="shared" si="2"/>
        <v>268</v>
      </c>
      <c r="G10" s="324">
        <f t="shared" si="3"/>
        <v>485</v>
      </c>
      <c r="H10" s="324">
        <f t="shared" si="4"/>
        <v>0</v>
      </c>
      <c r="I10" s="324">
        <f t="shared" si="5"/>
        <v>0</v>
      </c>
      <c r="J10" s="324">
        <f t="shared" si="6"/>
        <v>0</v>
      </c>
      <c r="K10" s="324">
        <f>SUMIF(Col_Shelter_Township,$A10,Shelter_HH_Covered)</f>
        <v>2534</v>
      </c>
      <c r="L10" s="324">
        <f>K10*P10</f>
        <v>13549.032119914347</v>
      </c>
      <c r="M10" s="323">
        <f>B10-K10</f>
        <v>1202</v>
      </c>
      <c r="N10" s="246">
        <f t="shared" si="8"/>
        <v>0.6782655246252677</v>
      </c>
      <c r="O10" s="323">
        <f t="shared" si="12"/>
        <v>6426.967880085653</v>
      </c>
      <c r="P10" s="125">
        <f t="shared" si="9"/>
        <v>5.346895074946467</v>
      </c>
      <c r="R10" s="168"/>
    </row>
    <row r="11" spans="1:18" ht="15">
      <c r="A11" s="24" t="s">
        <v>456</v>
      </c>
      <c r="B11" s="257">
        <f>SUMIF(Camplist_Township,Shelter_Progress!$A11,Camplist_HH)</f>
        <v>998</v>
      </c>
      <c r="C11" s="257">
        <f>SUMIF(Camplist_Township,Shelter_Progress!$A11,Camplist_Popl)</f>
        <v>6418</v>
      </c>
      <c r="D11" s="324">
        <f t="shared" si="0"/>
        <v>0</v>
      </c>
      <c r="E11" s="324">
        <f t="shared" si="1"/>
        <v>98</v>
      </c>
      <c r="F11" s="324">
        <f>SUMIF(Col_Shelter_Township,$A11,Col_Shelter_Temp_U)</f>
        <v>13</v>
      </c>
      <c r="G11" s="324">
        <f t="shared" si="3"/>
        <v>111</v>
      </c>
      <c r="H11" s="324">
        <f t="shared" si="4"/>
        <v>0</v>
      </c>
      <c r="I11" s="324">
        <f t="shared" si="5"/>
        <v>0</v>
      </c>
      <c r="J11" s="324">
        <f t="shared" si="6"/>
        <v>0</v>
      </c>
      <c r="K11" s="324">
        <f t="shared" si="10"/>
        <v>888</v>
      </c>
      <c r="L11" s="324">
        <f t="shared" si="7"/>
        <v>5710.605210420842</v>
      </c>
      <c r="M11" s="323">
        <f>B11-K11</f>
        <v>110</v>
      </c>
      <c r="N11" s="246">
        <f t="shared" si="8"/>
        <v>0.8897795591182365</v>
      </c>
      <c r="O11" s="323">
        <f t="shared" si="12"/>
        <v>707.394789579158</v>
      </c>
      <c r="P11" s="125">
        <f t="shared" si="9"/>
        <v>6.430861723446894</v>
      </c>
      <c r="R11" s="168"/>
    </row>
    <row r="12" spans="1:18" ht="15">
      <c r="A12" s="24" t="s">
        <v>457</v>
      </c>
      <c r="B12" s="257">
        <f>SUMIF(Camplist_Township,Shelter_Progress!$A12,Camplist_HH)</f>
        <v>769</v>
      </c>
      <c r="C12" s="257">
        <f>SUMIF(Camplist_Township,Shelter_Progress!$A12,Camplist_Popl)</f>
        <v>4008</v>
      </c>
      <c r="D12" s="324">
        <f>SUMIF(Col_Shelter_Township,$A12,Col_Shelter_Tent_Dist)</f>
        <v>416</v>
      </c>
      <c r="E12" s="324">
        <f t="shared" si="1"/>
        <v>61</v>
      </c>
      <c r="F12" s="324">
        <f>SUMIF(Col_Shelter_Township,$A12,Col_Shelter_Temp_U)</f>
        <v>3</v>
      </c>
      <c r="G12" s="324">
        <f t="shared" si="3"/>
        <v>64</v>
      </c>
      <c r="H12" s="324">
        <f t="shared" si="4"/>
        <v>0</v>
      </c>
      <c r="I12" s="324">
        <f t="shared" si="5"/>
        <v>0</v>
      </c>
      <c r="J12" s="324">
        <f t="shared" si="6"/>
        <v>0</v>
      </c>
      <c r="K12" s="324">
        <f t="shared" si="10"/>
        <v>512</v>
      </c>
      <c r="L12" s="324">
        <f t="shared" si="7"/>
        <v>2668.5253576072823</v>
      </c>
      <c r="M12" s="323">
        <f t="shared" si="11"/>
        <v>257</v>
      </c>
      <c r="N12" s="246">
        <f t="shared" si="8"/>
        <v>0.6657997399219766</v>
      </c>
      <c r="O12" s="323">
        <f t="shared" si="12"/>
        <v>1339.4746423927177</v>
      </c>
      <c r="P12" s="125">
        <f t="shared" si="9"/>
        <v>5.211963589076723</v>
      </c>
      <c r="R12" s="168"/>
    </row>
    <row r="13" spans="1:18" ht="15">
      <c r="A13" s="24" t="s">
        <v>458</v>
      </c>
      <c r="B13" s="257">
        <f>SUMIF(Camplist_Township,Shelter_Progress!$A13,Camplist_HH)</f>
        <v>491</v>
      </c>
      <c r="C13" s="257">
        <f>SUMIF(Camplist_Township,Shelter_Progress!$A13,Camplist_Popl)</f>
        <v>1849</v>
      </c>
      <c r="D13" s="324">
        <f t="shared" si="0"/>
        <v>0</v>
      </c>
      <c r="E13" s="324">
        <f t="shared" si="1"/>
        <v>60</v>
      </c>
      <c r="F13" s="324">
        <f t="shared" si="2"/>
        <v>0</v>
      </c>
      <c r="G13" s="324">
        <f t="shared" si="3"/>
        <v>60</v>
      </c>
      <c r="H13" s="324">
        <f t="shared" si="4"/>
        <v>0</v>
      </c>
      <c r="I13" s="324">
        <f t="shared" si="5"/>
        <v>0</v>
      </c>
      <c r="J13" s="324">
        <f t="shared" si="6"/>
        <v>0</v>
      </c>
      <c r="K13" s="324">
        <f t="shared" si="10"/>
        <v>480</v>
      </c>
      <c r="L13" s="324">
        <f t="shared" si="7"/>
        <v>1807.5763747454175</v>
      </c>
      <c r="M13" s="323">
        <f t="shared" si="11"/>
        <v>11</v>
      </c>
      <c r="N13" s="246">
        <f t="shared" si="8"/>
        <v>0.9775967413441955</v>
      </c>
      <c r="O13" s="323">
        <f t="shared" si="12"/>
        <v>41.423625254582475</v>
      </c>
      <c r="P13" s="125">
        <f t="shared" si="9"/>
        <v>3.7657841140529533</v>
      </c>
      <c r="R13" s="168"/>
    </row>
    <row r="14" spans="1:18" ht="15">
      <c r="A14" s="24" t="s">
        <v>459</v>
      </c>
      <c r="B14" s="257">
        <f>SUMIF(Camplist_Township,Shelter_Progress!$A14,Camplist_HH)</f>
        <v>43</v>
      </c>
      <c r="C14" s="257">
        <f>SUMIF(Camplist_Township,Shelter_Progress!$A14,Camplist_Popl)</f>
        <v>260</v>
      </c>
      <c r="D14" s="324">
        <f t="shared" si="0"/>
        <v>0</v>
      </c>
      <c r="E14" s="324">
        <f t="shared" si="1"/>
        <v>12</v>
      </c>
      <c r="F14" s="324">
        <f t="shared" si="2"/>
        <v>0</v>
      </c>
      <c r="G14" s="324">
        <f t="shared" si="3"/>
        <v>12</v>
      </c>
      <c r="H14" s="324">
        <f t="shared" si="4"/>
        <v>0</v>
      </c>
      <c r="I14" s="324">
        <f t="shared" si="5"/>
        <v>0</v>
      </c>
      <c r="J14" s="324">
        <f t="shared" si="6"/>
        <v>0</v>
      </c>
      <c r="K14" s="324">
        <f t="shared" si="10"/>
        <v>96</v>
      </c>
      <c r="L14" s="324">
        <f t="shared" si="7"/>
        <v>580.4651162790698</v>
      </c>
      <c r="M14" s="323">
        <f t="shared" si="11"/>
        <v>-53</v>
      </c>
      <c r="N14" s="246">
        <f t="shared" si="8"/>
        <v>2.2325581395348837</v>
      </c>
      <c r="O14" s="323">
        <f t="shared" si="12"/>
        <v>0</v>
      </c>
      <c r="P14" s="125">
        <f t="shared" si="9"/>
        <v>6.046511627906977</v>
      </c>
      <c r="R14" s="168"/>
    </row>
    <row r="15" spans="1:18" ht="15">
      <c r="A15" s="24" t="s">
        <v>460</v>
      </c>
      <c r="B15" s="257">
        <f>SUMIF(Camplist_Township,Shelter_Progress!$A15,Camplist_HH)</f>
        <v>15252</v>
      </c>
      <c r="C15" s="257">
        <f>SUMIF(Camplist_Township,Shelter_Progress!$A15,Camplist_Popl)</f>
        <v>89880</v>
      </c>
      <c r="D15" s="324">
        <f t="shared" si="0"/>
        <v>0</v>
      </c>
      <c r="E15" s="324">
        <f t="shared" si="1"/>
        <v>1410</v>
      </c>
      <c r="F15" s="324">
        <f t="shared" si="2"/>
        <v>128</v>
      </c>
      <c r="G15" s="324">
        <f t="shared" si="3"/>
        <v>1812</v>
      </c>
      <c r="H15" s="324">
        <f t="shared" si="4"/>
        <v>0</v>
      </c>
      <c r="I15" s="324">
        <f t="shared" si="5"/>
        <v>0</v>
      </c>
      <c r="J15" s="324">
        <f t="shared" si="6"/>
        <v>0</v>
      </c>
      <c r="K15" s="324">
        <f t="shared" si="10"/>
        <v>12968</v>
      </c>
      <c r="L15" s="324">
        <f t="shared" si="7"/>
        <v>76420.39339103068</v>
      </c>
      <c r="M15" s="323">
        <f>B15-K15</f>
        <v>2284</v>
      </c>
      <c r="N15" s="246">
        <f t="shared" si="8"/>
        <v>0.8502491476527668</v>
      </c>
      <c r="O15" s="323">
        <f t="shared" si="12"/>
        <v>13459.60660896932</v>
      </c>
      <c r="P15" s="125">
        <f t="shared" si="9"/>
        <v>5.8929976396538155</v>
      </c>
      <c r="R15" s="168"/>
    </row>
    <row r="16" spans="1:18" ht="15">
      <c r="A16" s="28" t="s">
        <v>461</v>
      </c>
      <c r="B16" s="257">
        <f>SUMIF(Camplist_Township,Shelter_Progress!$A16,Camplist_HH)</f>
        <v>566</v>
      </c>
      <c r="C16" s="257">
        <f>SUMIF(Camplist_Township,Shelter_Progress!$A16,Camplist_Popl)</f>
        <v>3569</v>
      </c>
      <c r="D16" s="324">
        <f t="shared" si="0"/>
        <v>0</v>
      </c>
      <c r="E16" s="324">
        <f t="shared" si="1"/>
        <v>0</v>
      </c>
      <c r="F16" s="324">
        <f t="shared" si="2"/>
        <v>0</v>
      </c>
      <c r="G16" s="324">
        <f t="shared" si="3"/>
        <v>0</v>
      </c>
      <c r="H16" s="324">
        <f t="shared" si="4"/>
        <v>363</v>
      </c>
      <c r="I16" s="324">
        <f t="shared" si="5"/>
        <v>133</v>
      </c>
      <c r="J16" s="324">
        <f>SUMIF(Col_Shelter_Township,$A16,Col_Shelter_Perm_P)</f>
        <v>554</v>
      </c>
      <c r="K16" s="324">
        <f t="shared" si="10"/>
        <v>496</v>
      </c>
      <c r="L16" s="324">
        <f t="shared" si="7"/>
        <v>3127.6042402826856</v>
      </c>
      <c r="M16" s="323">
        <f t="shared" si="11"/>
        <v>70</v>
      </c>
      <c r="N16" s="246">
        <f t="shared" si="8"/>
        <v>0.8763250883392226</v>
      </c>
      <c r="O16" s="323">
        <f t="shared" si="12"/>
        <v>441.3957597173144</v>
      </c>
      <c r="P16" s="125">
        <f t="shared" si="9"/>
        <v>6.30565371024735</v>
      </c>
      <c r="R16" s="168"/>
    </row>
    <row r="17" spans="1:16" ht="15">
      <c r="A17" s="29" t="s">
        <v>5</v>
      </c>
      <c r="B17" s="259">
        <f>SUM(B7:B16)</f>
        <v>24119</v>
      </c>
      <c r="C17" s="259">
        <f aca="true" t="shared" si="13" ref="C17:O17">SUM(C7:C16)</f>
        <v>139416</v>
      </c>
      <c r="D17" s="259">
        <f t="shared" si="13"/>
        <v>416</v>
      </c>
      <c r="E17" s="259">
        <f t="shared" si="13"/>
        <v>1795</v>
      </c>
      <c r="F17" s="259">
        <f t="shared" si="13"/>
        <v>507</v>
      </c>
      <c r="G17" s="259">
        <f t="shared" si="13"/>
        <v>2795</v>
      </c>
      <c r="H17" s="259">
        <f t="shared" si="13"/>
        <v>363</v>
      </c>
      <c r="I17" s="259">
        <f t="shared" si="13"/>
        <v>133</v>
      </c>
      <c r="J17" s="259">
        <f t="shared" si="13"/>
        <v>554</v>
      </c>
      <c r="K17" s="259">
        <f t="shared" si="13"/>
        <v>19582</v>
      </c>
      <c r="L17" s="259">
        <f t="shared" si="13"/>
        <v>113284.0860332896</v>
      </c>
      <c r="M17" s="260">
        <f t="shared" si="13"/>
        <v>4537</v>
      </c>
      <c r="N17" s="247">
        <f>K17/B17</f>
        <v>0.8118910402587172</v>
      </c>
      <c r="O17" s="260">
        <f t="shared" si="13"/>
        <v>26452.37908298947</v>
      </c>
      <c r="P17" s="125">
        <f t="shared" si="9"/>
        <v>5.780339151706124</v>
      </c>
    </row>
    <row r="18" spans="1:16" s="238" customFormat="1" ht="15">
      <c r="A18" s="272"/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3"/>
      <c r="M18" s="274"/>
      <c r="N18" s="254"/>
      <c r="O18" s="255"/>
      <c r="P18" s="125"/>
    </row>
    <row r="19" ht="78" customHeight="1">
      <c r="P19" s="125"/>
    </row>
    <row r="20" spans="1:16" ht="31.5">
      <c r="A20" s="275" t="s">
        <v>433</v>
      </c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125"/>
    </row>
    <row r="21" spans="1:16" ht="38.25">
      <c r="A21" s="23" t="s">
        <v>1</v>
      </c>
      <c r="B21" s="23" t="s">
        <v>822</v>
      </c>
      <c r="C21" s="23" t="s">
        <v>823</v>
      </c>
      <c r="D21" s="23" t="s">
        <v>825</v>
      </c>
      <c r="E21" s="23" t="s">
        <v>819</v>
      </c>
      <c r="F21" s="23" t="s">
        <v>820</v>
      </c>
      <c r="G21" s="23" t="s">
        <v>818</v>
      </c>
      <c r="H21" s="23" t="s">
        <v>826</v>
      </c>
      <c r="I21" s="23" t="s">
        <v>827</v>
      </c>
      <c r="J21" s="23" t="s">
        <v>828</v>
      </c>
      <c r="K21" s="23" t="s">
        <v>829</v>
      </c>
      <c r="L21" s="23" t="s">
        <v>824</v>
      </c>
      <c r="M21" s="34" t="s">
        <v>1258</v>
      </c>
      <c r="N21" s="34" t="s">
        <v>1257</v>
      </c>
      <c r="O21" s="34" t="s">
        <v>1259</v>
      </c>
      <c r="P21" s="125"/>
    </row>
    <row r="22" spans="1:16" ht="15">
      <c r="A22" s="26" t="s">
        <v>7</v>
      </c>
      <c r="B22" s="257">
        <f>SUMIF(Camplist_Township,Shelter_Progress!$A22,Camplist_HH)</f>
        <v>1276</v>
      </c>
      <c r="C22" s="257">
        <f>SUMIF(Camplist_Township,Shelter_Progress!$A22,Camplist_Popl)</f>
        <v>5768</v>
      </c>
      <c r="D22" s="324">
        <f aca="true" t="shared" si="14" ref="D22:D40">SUMIF(Col_Shelter_Township,$A22,Col_Shelter_Tent_Dist)</f>
        <v>0</v>
      </c>
      <c r="E22" s="324">
        <f aca="true" t="shared" si="15" ref="E22:E40">SUMIF(Col_Shelter_Township,$A22,Col_Shelter_Temp_B)</f>
        <v>0</v>
      </c>
      <c r="F22" s="324">
        <f aca="true" t="shared" si="16" ref="F22:F40">SUMIF(Col_Shelter_Township,$A22,Col_Shelter_Temp_U)</f>
        <v>32</v>
      </c>
      <c r="G22" s="324">
        <f aca="true" t="shared" si="17" ref="G22:G40">SUMIF(Col_Shelter_Township,$A22,Col_Shelter_Temp_P)</f>
        <v>0</v>
      </c>
      <c r="H22" s="324">
        <f aca="true" t="shared" si="18" ref="H22:H40">SUMIF(Col_Shelter_Township,$A22,Col_Shelter_Perm_B)</f>
        <v>0</v>
      </c>
      <c r="I22" s="324">
        <f aca="true" t="shared" si="19" ref="I22:I40">SUMIF(Col_Shelter_Township,$A22,Col_Shelter_Perm_U)</f>
        <v>0</v>
      </c>
      <c r="J22" s="324">
        <f aca="true" t="shared" si="20" ref="J22:J40">SUMIF(Col_Shelter_Township,$A22,Col_Shelter_Perm_P)</f>
        <v>0</v>
      </c>
      <c r="K22" s="324">
        <f aca="true" t="shared" si="21" ref="K22:K40">SUMIF(Col_Shelter_Township,$A22,Shelter_HH_Covered)</f>
        <v>305</v>
      </c>
      <c r="L22" s="324">
        <f>K22*P22</f>
        <v>1378.71473354232</v>
      </c>
      <c r="M22" s="37">
        <f>B22-K22</f>
        <v>971</v>
      </c>
      <c r="N22" s="246">
        <f aca="true" t="shared" si="22" ref="N22:N40">IF(B22=0,0,K22/B22)</f>
        <v>0.2390282131661442</v>
      </c>
      <c r="O22" s="323">
        <f>MAX(0,C22-L22)</f>
        <v>4389.28526645768</v>
      </c>
      <c r="P22" s="125">
        <f>IF(B22=0,5,C22/B22)</f>
        <v>4.52037617554859</v>
      </c>
    </row>
    <row r="23" spans="1:16" ht="15">
      <c r="A23" s="24" t="s">
        <v>29</v>
      </c>
      <c r="B23" s="257">
        <f>SUMIF(Camplist_Township,Shelter_Progress!$A23,Camplist_HH)</f>
        <v>95.4</v>
      </c>
      <c r="C23" s="257">
        <f>SUMIF(Camplist_Township,Shelter_Progress!$A23,Camplist_Popl)</f>
        <v>830</v>
      </c>
      <c r="D23" s="324">
        <f t="shared" si="14"/>
        <v>0</v>
      </c>
      <c r="E23" s="324">
        <f t="shared" si="15"/>
        <v>0</v>
      </c>
      <c r="F23" s="324">
        <f t="shared" si="16"/>
        <v>0</v>
      </c>
      <c r="G23" s="324">
        <f t="shared" si="17"/>
        <v>0</v>
      </c>
      <c r="H23" s="324">
        <f t="shared" si="18"/>
        <v>82</v>
      </c>
      <c r="I23" s="324">
        <f t="shared" si="19"/>
        <v>0</v>
      </c>
      <c r="J23" s="324">
        <f t="shared" si="20"/>
        <v>82</v>
      </c>
      <c r="K23" s="324">
        <f>SUMIF(Col_Shelter_Township,$A23,Shelter_HH_Covered)</f>
        <v>82</v>
      </c>
      <c r="L23" s="324">
        <f aca="true" t="shared" si="23" ref="L23">K23*P23</f>
        <v>713.4171907756813</v>
      </c>
      <c r="M23" s="37">
        <f aca="true" t="shared" si="24" ref="M23:M40">B23-K23</f>
        <v>13.400000000000006</v>
      </c>
      <c r="N23" s="246">
        <f t="shared" si="22"/>
        <v>0.859538784067086</v>
      </c>
      <c r="O23" s="323">
        <f aca="true" t="shared" si="25" ref="O23:O40">MAX(0,C23-L23)</f>
        <v>116.58280922431868</v>
      </c>
      <c r="P23" s="125">
        <f aca="true" t="shared" si="26" ref="P23:P40">IF(B23=0,5,C23/B23)</f>
        <v>8.70020964360587</v>
      </c>
    </row>
    <row r="24" spans="1:16" ht="15">
      <c r="A24" s="25" t="s">
        <v>41</v>
      </c>
      <c r="B24" s="257">
        <f>SUMIF(Camplist_Township,Shelter_Progress!$A24,Camplist_HH)</f>
        <v>1511</v>
      </c>
      <c r="C24" s="257">
        <f>SUMIF(Camplist_Township,Shelter_Progress!$A24,Camplist_Popl)</f>
        <v>5872</v>
      </c>
      <c r="D24" s="324">
        <f t="shared" si="14"/>
        <v>0</v>
      </c>
      <c r="E24" s="324">
        <f t="shared" si="15"/>
        <v>0</v>
      </c>
      <c r="F24" s="324">
        <f t="shared" si="16"/>
        <v>0</v>
      </c>
      <c r="G24" s="324">
        <f t="shared" si="17"/>
        <v>0</v>
      </c>
      <c r="H24" s="324">
        <f t="shared" si="18"/>
        <v>0</v>
      </c>
      <c r="I24" s="324">
        <f t="shared" si="19"/>
        <v>0</v>
      </c>
      <c r="J24" s="324">
        <f t="shared" si="20"/>
        <v>0</v>
      </c>
      <c r="K24" s="324">
        <f t="shared" si="21"/>
        <v>0</v>
      </c>
      <c r="L24" s="324">
        <f>K24*P24</f>
        <v>0</v>
      </c>
      <c r="M24" s="37">
        <f t="shared" si="24"/>
        <v>1511</v>
      </c>
      <c r="N24" s="246">
        <f t="shared" si="22"/>
        <v>0</v>
      </c>
      <c r="O24" s="323">
        <f t="shared" si="25"/>
        <v>5872</v>
      </c>
      <c r="P24" s="125">
        <f t="shared" si="26"/>
        <v>3.886168100595632</v>
      </c>
    </row>
    <row r="25" spans="1:16" ht="15">
      <c r="A25" s="45" t="s">
        <v>412</v>
      </c>
      <c r="B25" s="257">
        <f>SUMIF(Camplist_Township,Shelter_Progress!$A25,Camplist_HH)</f>
        <v>0</v>
      </c>
      <c r="C25" s="257">
        <f>SUMIF(Camplist_Township,Shelter_Progress!$A25,Camplist_Popl)</f>
        <v>0</v>
      </c>
      <c r="D25" s="324">
        <f t="shared" si="14"/>
        <v>0</v>
      </c>
      <c r="E25" s="324">
        <f t="shared" si="15"/>
        <v>0</v>
      </c>
      <c r="F25" s="324">
        <f t="shared" si="16"/>
        <v>0</v>
      </c>
      <c r="G25" s="324">
        <f t="shared" si="17"/>
        <v>0</v>
      </c>
      <c r="H25" s="324">
        <f t="shared" si="18"/>
        <v>0</v>
      </c>
      <c r="I25" s="324">
        <f t="shared" si="19"/>
        <v>0</v>
      </c>
      <c r="J25" s="324">
        <f t="shared" si="20"/>
        <v>0</v>
      </c>
      <c r="K25" s="324">
        <f t="shared" si="21"/>
        <v>0</v>
      </c>
      <c r="L25" s="324">
        <f>K25*P25</f>
        <v>0</v>
      </c>
      <c r="M25" s="37">
        <f aca="true" t="shared" si="27" ref="M25">B25-K25</f>
        <v>0</v>
      </c>
      <c r="N25" s="246">
        <f>IF(B25=0,0,K25/B25)</f>
        <v>0</v>
      </c>
      <c r="O25" s="323">
        <f aca="true" t="shared" si="28" ref="O25">MAX(0,C25-L25)</f>
        <v>0</v>
      </c>
      <c r="P25" s="125">
        <f t="shared" si="26"/>
        <v>5</v>
      </c>
    </row>
    <row r="26" spans="1:16" ht="15">
      <c r="A26" s="24" t="s">
        <v>148</v>
      </c>
      <c r="B26" s="257">
        <f>SUMIF(Camplist_Township,Shelter_Progress!$A26,Camplist_HH)</f>
        <v>22</v>
      </c>
      <c r="C26" s="257">
        <f>SUMIF(Camplist_Township,Shelter_Progress!$A26,Camplist_Popl)</f>
        <v>107</v>
      </c>
      <c r="D26" s="324">
        <f t="shared" si="14"/>
        <v>0</v>
      </c>
      <c r="E26" s="324">
        <f t="shared" si="15"/>
        <v>0</v>
      </c>
      <c r="F26" s="324">
        <f t="shared" si="16"/>
        <v>0</v>
      </c>
      <c r="G26" s="324">
        <f t="shared" si="17"/>
        <v>0</v>
      </c>
      <c r="H26" s="324">
        <f t="shared" si="18"/>
        <v>0</v>
      </c>
      <c r="I26" s="324">
        <f t="shared" si="19"/>
        <v>0</v>
      </c>
      <c r="J26" s="324">
        <f t="shared" si="20"/>
        <v>0</v>
      </c>
      <c r="K26" s="324">
        <f t="shared" si="21"/>
        <v>0</v>
      </c>
      <c r="L26" s="324">
        <f aca="true" t="shared" si="29" ref="L26:L40">K26*P25</f>
        <v>0</v>
      </c>
      <c r="M26" s="37">
        <f t="shared" si="24"/>
        <v>22</v>
      </c>
      <c r="N26" s="246">
        <f t="shared" si="22"/>
        <v>0</v>
      </c>
      <c r="O26" s="323">
        <f t="shared" si="25"/>
        <v>107</v>
      </c>
      <c r="P26" s="125">
        <f t="shared" si="26"/>
        <v>4.863636363636363</v>
      </c>
    </row>
    <row r="27" spans="1:16" ht="15">
      <c r="A27" s="24" t="s">
        <v>150</v>
      </c>
      <c r="B27" s="257">
        <f>SUMIF(Camplist_Township,Shelter_Progress!$A27,Camplist_HH)</f>
        <v>148</v>
      </c>
      <c r="C27" s="257">
        <f>SUMIF(Camplist_Township,Shelter_Progress!$A27,Camplist_Popl)</f>
        <v>571</v>
      </c>
      <c r="D27" s="324">
        <f t="shared" si="14"/>
        <v>0</v>
      </c>
      <c r="E27" s="324">
        <f t="shared" si="15"/>
        <v>0</v>
      </c>
      <c r="F27" s="324">
        <f t="shared" si="16"/>
        <v>0</v>
      </c>
      <c r="G27" s="324">
        <f t="shared" si="17"/>
        <v>0</v>
      </c>
      <c r="H27" s="324">
        <f t="shared" si="18"/>
        <v>0</v>
      </c>
      <c r="I27" s="324">
        <f t="shared" si="19"/>
        <v>0</v>
      </c>
      <c r="J27" s="324">
        <f t="shared" si="20"/>
        <v>0</v>
      </c>
      <c r="K27" s="324">
        <f t="shared" si="21"/>
        <v>0</v>
      </c>
      <c r="L27" s="324">
        <f t="shared" si="29"/>
        <v>0</v>
      </c>
      <c r="M27" s="37">
        <f t="shared" si="24"/>
        <v>148</v>
      </c>
      <c r="N27" s="246">
        <f t="shared" si="22"/>
        <v>0</v>
      </c>
      <c r="O27" s="323">
        <f t="shared" si="25"/>
        <v>571</v>
      </c>
      <c r="P27" s="125">
        <f t="shared" si="26"/>
        <v>3.858108108108108</v>
      </c>
    </row>
    <row r="28" spans="1:16" ht="15">
      <c r="A28" s="24" t="s">
        <v>155</v>
      </c>
      <c r="B28" s="257">
        <f>SUMIF(Camplist_Township,Shelter_Progress!$A28,Camplist_HH)</f>
        <v>1551.2</v>
      </c>
      <c r="C28" s="257">
        <f>SUMIF(Camplist_Township,Shelter_Progress!$A28,Camplist_Popl)</f>
        <v>7286</v>
      </c>
      <c r="D28" s="324">
        <f t="shared" si="14"/>
        <v>0</v>
      </c>
      <c r="E28" s="324">
        <f t="shared" si="15"/>
        <v>0</v>
      </c>
      <c r="F28" s="324">
        <f t="shared" si="16"/>
        <v>74</v>
      </c>
      <c r="G28" s="324">
        <f t="shared" si="17"/>
        <v>0</v>
      </c>
      <c r="H28" s="324">
        <f t="shared" si="18"/>
        <v>39</v>
      </c>
      <c r="I28" s="324">
        <f t="shared" si="19"/>
        <v>0</v>
      </c>
      <c r="J28" s="324">
        <f t="shared" si="20"/>
        <v>39</v>
      </c>
      <c r="K28" s="324">
        <f t="shared" si="21"/>
        <v>754</v>
      </c>
      <c r="L28" s="324">
        <f t="shared" si="29"/>
        <v>2909.0135135135133</v>
      </c>
      <c r="M28" s="37">
        <f t="shared" si="24"/>
        <v>797.2</v>
      </c>
      <c r="N28" s="246">
        <f t="shared" si="22"/>
        <v>0.4860752965446106</v>
      </c>
      <c r="O28" s="323">
        <f t="shared" si="25"/>
        <v>4376.986486486487</v>
      </c>
      <c r="P28" s="125">
        <f t="shared" si="26"/>
        <v>4.69700876740588</v>
      </c>
    </row>
    <row r="29" spans="1:16" ht="15">
      <c r="A29" s="24" t="s">
        <v>170</v>
      </c>
      <c r="B29" s="257">
        <f>SUMIF(Camplist_Township,Shelter_Progress!$A29,Camplist_HH)</f>
        <v>53</v>
      </c>
      <c r="C29" s="257">
        <f>SUMIF(Camplist_Township,Shelter_Progress!$A29,Camplist_Popl)</f>
        <v>260</v>
      </c>
      <c r="D29" s="324">
        <f t="shared" si="14"/>
        <v>0</v>
      </c>
      <c r="E29" s="324">
        <f t="shared" si="15"/>
        <v>0</v>
      </c>
      <c r="F29" s="324">
        <f t="shared" si="16"/>
        <v>2</v>
      </c>
      <c r="G29" s="324">
        <f t="shared" si="17"/>
        <v>0</v>
      </c>
      <c r="H29" s="324">
        <f t="shared" si="18"/>
        <v>0</v>
      </c>
      <c r="I29" s="324">
        <f t="shared" si="19"/>
        <v>0</v>
      </c>
      <c r="J29" s="324">
        <f t="shared" si="20"/>
        <v>0</v>
      </c>
      <c r="K29" s="324">
        <f t="shared" si="21"/>
        <v>20</v>
      </c>
      <c r="L29" s="324">
        <f t="shared" si="29"/>
        <v>93.94017534811759</v>
      </c>
      <c r="M29" s="37">
        <f t="shared" si="24"/>
        <v>33</v>
      </c>
      <c r="N29" s="246">
        <f t="shared" si="22"/>
        <v>0.37735849056603776</v>
      </c>
      <c r="O29" s="323">
        <f t="shared" si="25"/>
        <v>166.05982465188242</v>
      </c>
      <c r="P29" s="125">
        <f t="shared" si="26"/>
        <v>4.90566037735849</v>
      </c>
    </row>
    <row r="30" spans="1:16" ht="15">
      <c r="A30" s="24" t="s">
        <v>177</v>
      </c>
      <c r="B30" s="257">
        <f>SUMIF(Camplist_Township,Shelter_Progress!$A30,Camplist_HH)</f>
        <v>45</v>
      </c>
      <c r="C30" s="257">
        <f>SUMIF(Camplist_Township,Shelter_Progress!$A30,Camplist_Popl)</f>
        <v>188</v>
      </c>
      <c r="D30" s="324">
        <f t="shared" si="14"/>
        <v>0</v>
      </c>
      <c r="E30" s="324">
        <f t="shared" si="15"/>
        <v>0</v>
      </c>
      <c r="F30" s="324">
        <f t="shared" si="16"/>
        <v>9</v>
      </c>
      <c r="G30" s="324">
        <f t="shared" si="17"/>
        <v>0</v>
      </c>
      <c r="H30" s="324">
        <f t="shared" si="18"/>
        <v>0</v>
      </c>
      <c r="I30" s="324">
        <f t="shared" si="19"/>
        <v>0</v>
      </c>
      <c r="J30" s="324">
        <f t="shared" si="20"/>
        <v>0</v>
      </c>
      <c r="K30" s="324">
        <f t="shared" si="21"/>
        <v>44</v>
      </c>
      <c r="L30" s="324">
        <f t="shared" si="29"/>
        <v>215.8490566037736</v>
      </c>
      <c r="M30" s="37">
        <f t="shared" si="24"/>
        <v>1</v>
      </c>
      <c r="N30" s="246">
        <f t="shared" si="22"/>
        <v>0.9777777777777777</v>
      </c>
      <c r="O30" s="323">
        <f t="shared" si="25"/>
        <v>0</v>
      </c>
      <c r="P30" s="125">
        <f t="shared" si="26"/>
        <v>4.177777777777778</v>
      </c>
    </row>
    <row r="31" spans="1:16" ht="15">
      <c r="A31" s="24" t="s">
        <v>184</v>
      </c>
      <c r="B31" s="257">
        <f>SUMIF(Camplist_Township,Shelter_Progress!$A31,Camplist_HH)</f>
        <v>34</v>
      </c>
      <c r="C31" s="257">
        <f>SUMIF(Camplist_Township,Shelter_Progress!$A31,Camplist_Popl)</f>
        <v>143</v>
      </c>
      <c r="D31" s="324">
        <f t="shared" si="14"/>
        <v>0</v>
      </c>
      <c r="E31" s="324">
        <f t="shared" si="15"/>
        <v>0</v>
      </c>
      <c r="F31" s="324">
        <f t="shared" si="16"/>
        <v>2</v>
      </c>
      <c r="G31" s="324">
        <f t="shared" si="17"/>
        <v>0</v>
      </c>
      <c r="H31" s="324">
        <f t="shared" si="18"/>
        <v>0</v>
      </c>
      <c r="I31" s="324">
        <f t="shared" si="19"/>
        <v>0</v>
      </c>
      <c r="J31" s="324">
        <f t="shared" si="20"/>
        <v>0</v>
      </c>
      <c r="K31" s="324">
        <f t="shared" si="21"/>
        <v>20</v>
      </c>
      <c r="L31" s="324">
        <f t="shared" si="29"/>
        <v>83.55555555555556</v>
      </c>
      <c r="M31" s="37">
        <f t="shared" si="24"/>
        <v>14</v>
      </c>
      <c r="N31" s="246">
        <f t="shared" si="22"/>
        <v>0.5882352941176471</v>
      </c>
      <c r="O31" s="323">
        <f t="shared" si="25"/>
        <v>59.44444444444444</v>
      </c>
      <c r="P31" s="125">
        <f t="shared" si="26"/>
        <v>4.205882352941177</v>
      </c>
    </row>
    <row r="32" spans="1:16" ht="15">
      <c r="A32" s="24" t="s">
        <v>189</v>
      </c>
      <c r="B32" s="257">
        <f>SUMIF(Camplist_Township,Shelter_Progress!$A32,Camplist_HH)</f>
        <v>5355</v>
      </c>
      <c r="C32" s="257">
        <f>SUMIF(Camplist_Township,Shelter_Progress!$A32,Camplist_Popl)</f>
        <v>25037</v>
      </c>
      <c r="D32" s="324">
        <f t="shared" si="14"/>
        <v>0</v>
      </c>
      <c r="E32" s="324">
        <f t="shared" si="15"/>
        <v>0</v>
      </c>
      <c r="F32" s="324">
        <f t="shared" si="16"/>
        <v>91</v>
      </c>
      <c r="G32" s="324">
        <f t="shared" si="17"/>
        <v>0</v>
      </c>
      <c r="H32" s="324">
        <f t="shared" si="18"/>
        <v>338</v>
      </c>
      <c r="I32" s="324">
        <f t="shared" si="19"/>
        <v>0</v>
      </c>
      <c r="J32" s="324">
        <f t="shared" si="20"/>
        <v>338</v>
      </c>
      <c r="K32" s="324">
        <f t="shared" si="21"/>
        <v>1209</v>
      </c>
      <c r="L32" s="324">
        <f t="shared" si="29"/>
        <v>5084.911764705883</v>
      </c>
      <c r="M32" s="37">
        <f t="shared" si="24"/>
        <v>4146</v>
      </c>
      <c r="N32" s="246">
        <f t="shared" si="22"/>
        <v>0.2257703081232493</v>
      </c>
      <c r="O32" s="323">
        <f t="shared" si="25"/>
        <v>19952.08823529412</v>
      </c>
      <c r="P32" s="125">
        <f t="shared" si="26"/>
        <v>4.675443510737629</v>
      </c>
    </row>
    <row r="33" spans="1:16" ht="15">
      <c r="A33" s="24" t="s">
        <v>432</v>
      </c>
      <c r="B33" s="257">
        <f>SUMIF(Camplist_Township,Shelter_Progress!$A33,Camplist_HH)</f>
        <v>0</v>
      </c>
      <c r="C33" s="257">
        <f>SUMIF(Camplist_Township,Shelter_Progress!$A33,Camplist_Popl)</f>
        <v>0</v>
      </c>
      <c r="D33" s="324">
        <f t="shared" si="14"/>
        <v>0</v>
      </c>
      <c r="E33" s="324">
        <f t="shared" si="15"/>
        <v>0</v>
      </c>
      <c r="F33" s="324">
        <f t="shared" si="16"/>
        <v>0</v>
      </c>
      <c r="G33" s="324">
        <f t="shared" si="17"/>
        <v>0</v>
      </c>
      <c r="H33" s="324">
        <f t="shared" si="18"/>
        <v>0</v>
      </c>
      <c r="I33" s="324">
        <f t="shared" si="19"/>
        <v>0</v>
      </c>
      <c r="J33" s="324">
        <f t="shared" si="20"/>
        <v>0</v>
      </c>
      <c r="K33" s="324">
        <f t="shared" si="21"/>
        <v>0</v>
      </c>
      <c r="L33" s="324">
        <f>K33*P32</f>
        <v>0</v>
      </c>
      <c r="M33" s="37">
        <f t="shared" si="24"/>
        <v>0</v>
      </c>
      <c r="N33" s="246">
        <f t="shared" si="22"/>
        <v>0</v>
      </c>
      <c r="O33" s="323">
        <f t="shared" si="25"/>
        <v>0</v>
      </c>
      <c r="P33" s="125">
        <f t="shared" si="26"/>
        <v>5</v>
      </c>
    </row>
    <row r="34" spans="1:16" ht="15">
      <c r="A34" s="24" t="s">
        <v>234</v>
      </c>
      <c r="B34" s="257">
        <f>SUMIF(Camplist_Township,Shelter_Progress!$A34,Camplist_HH)</f>
        <v>208</v>
      </c>
      <c r="C34" s="257">
        <f>SUMIF(Camplist_Township,Shelter_Progress!$A34,Camplist_Popl)</f>
        <v>882</v>
      </c>
      <c r="D34" s="324">
        <f t="shared" si="14"/>
        <v>0</v>
      </c>
      <c r="E34" s="324">
        <f t="shared" si="15"/>
        <v>0</v>
      </c>
      <c r="F34" s="324">
        <f t="shared" si="16"/>
        <v>0</v>
      </c>
      <c r="G34" s="324">
        <f t="shared" si="17"/>
        <v>0</v>
      </c>
      <c r="H34" s="324">
        <f t="shared" si="18"/>
        <v>0</v>
      </c>
      <c r="I34" s="324">
        <f t="shared" si="19"/>
        <v>0</v>
      </c>
      <c r="J34" s="324">
        <f t="shared" si="20"/>
        <v>0</v>
      </c>
      <c r="K34" s="324">
        <f t="shared" si="21"/>
        <v>0</v>
      </c>
      <c r="L34" s="324">
        <f t="shared" si="29"/>
        <v>0</v>
      </c>
      <c r="M34" s="37">
        <f t="shared" si="24"/>
        <v>208</v>
      </c>
      <c r="N34" s="246">
        <f t="shared" si="22"/>
        <v>0</v>
      </c>
      <c r="O34" s="323">
        <f t="shared" si="25"/>
        <v>882</v>
      </c>
      <c r="P34" s="125">
        <f t="shared" si="26"/>
        <v>4.240384615384615</v>
      </c>
    </row>
    <row r="35" spans="1:16" ht="15">
      <c r="A35" s="24" t="s">
        <v>241</v>
      </c>
      <c r="B35" s="257">
        <f>SUMIF(Camplist_Township,Shelter_Progress!$A35,Camplist_HH)</f>
        <v>1434</v>
      </c>
      <c r="C35" s="257">
        <f>SUMIF(Camplist_Township,Shelter_Progress!$A35,Camplist_Popl)</f>
        <v>6480</v>
      </c>
      <c r="D35" s="324">
        <f t="shared" si="14"/>
        <v>0</v>
      </c>
      <c r="E35" s="324">
        <f t="shared" si="15"/>
        <v>0</v>
      </c>
      <c r="F35" s="324">
        <f t="shared" si="16"/>
        <v>153</v>
      </c>
      <c r="G35" s="324">
        <f t="shared" si="17"/>
        <v>0</v>
      </c>
      <c r="H35" s="324">
        <f t="shared" si="18"/>
        <v>46</v>
      </c>
      <c r="I35" s="324">
        <f t="shared" si="19"/>
        <v>0</v>
      </c>
      <c r="J35" s="324">
        <f t="shared" si="20"/>
        <v>46</v>
      </c>
      <c r="K35" s="324">
        <f t="shared" si="21"/>
        <v>1232</v>
      </c>
      <c r="L35" s="324">
        <f t="shared" si="29"/>
        <v>5224.153846153846</v>
      </c>
      <c r="M35" s="37">
        <f t="shared" si="24"/>
        <v>202</v>
      </c>
      <c r="N35" s="246">
        <f t="shared" si="22"/>
        <v>0.8591352859135286</v>
      </c>
      <c r="O35" s="323">
        <f t="shared" si="25"/>
        <v>1255.8461538461543</v>
      </c>
      <c r="P35" s="125">
        <f t="shared" si="26"/>
        <v>4.518828451882845</v>
      </c>
    </row>
    <row r="36" spans="1:16" ht="15">
      <c r="A36" s="24" t="s">
        <v>294</v>
      </c>
      <c r="B36" s="257">
        <f>SUMIF(Camplist_Township,Shelter_Progress!$A36,Camplist_HH)</f>
        <v>284</v>
      </c>
      <c r="C36" s="257">
        <f>SUMIF(Camplist_Township,Shelter_Progress!$A36,Camplist_Popl)</f>
        <v>1367</v>
      </c>
      <c r="D36" s="324">
        <f t="shared" si="14"/>
        <v>0</v>
      </c>
      <c r="E36" s="324">
        <f t="shared" si="15"/>
        <v>0</v>
      </c>
      <c r="F36" s="324">
        <f t="shared" si="16"/>
        <v>5</v>
      </c>
      <c r="G36" s="324">
        <f t="shared" si="17"/>
        <v>0</v>
      </c>
      <c r="H36" s="324">
        <f t="shared" si="18"/>
        <v>108</v>
      </c>
      <c r="I36" s="324">
        <f t="shared" si="19"/>
        <v>0</v>
      </c>
      <c r="J36" s="324">
        <f t="shared" si="20"/>
        <v>108</v>
      </c>
      <c r="K36" s="324">
        <f t="shared" si="21"/>
        <v>158</v>
      </c>
      <c r="L36" s="324">
        <f t="shared" si="29"/>
        <v>713.9748953974895</v>
      </c>
      <c r="M36" s="37">
        <f t="shared" si="24"/>
        <v>126</v>
      </c>
      <c r="N36" s="246">
        <f t="shared" si="22"/>
        <v>0.5563380281690141</v>
      </c>
      <c r="O36" s="323">
        <f t="shared" si="25"/>
        <v>653.0251046025105</v>
      </c>
      <c r="P36" s="125">
        <f t="shared" si="26"/>
        <v>4.813380281690141</v>
      </c>
    </row>
    <row r="37" spans="1:16" ht="15">
      <c r="A37" s="24" t="s">
        <v>303</v>
      </c>
      <c r="B37" s="257">
        <f>SUMIF(Camplist_Township,Shelter_Progress!$A37,Camplist_HH)</f>
        <v>18</v>
      </c>
      <c r="C37" s="257">
        <f>SUMIF(Camplist_Township,Shelter_Progress!$A37,Camplist_Popl)</f>
        <v>74</v>
      </c>
      <c r="D37" s="324">
        <f t="shared" si="14"/>
        <v>0</v>
      </c>
      <c r="E37" s="324">
        <f t="shared" si="15"/>
        <v>0</v>
      </c>
      <c r="F37" s="324">
        <f t="shared" si="16"/>
        <v>1</v>
      </c>
      <c r="G37" s="324">
        <f t="shared" si="17"/>
        <v>0</v>
      </c>
      <c r="H37" s="324">
        <f t="shared" si="18"/>
        <v>0</v>
      </c>
      <c r="I37" s="324">
        <f t="shared" si="19"/>
        <v>0</v>
      </c>
      <c r="J37" s="324">
        <f t="shared" si="20"/>
        <v>0</v>
      </c>
      <c r="K37" s="324">
        <f t="shared" si="21"/>
        <v>10</v>
      </c>
      <c r="L37" s="324">
        <f t="shared" si="29"/>
        <v>48.13380281690141</v>
      </c>
      <c r="M37" s="37">
        <f t="shared" si="24"/>
        <v>8</v>
      </c>
      <c r="N37" s="246">
        <f t="shared" si="22"/>
        <v>0.5555555555555556</v>
      </c>
      <c r="O37" s="323">
        <f t="shared" si="25"/>
        <v>25.866197183098592</v>
      </c>
      <c r="P37" s="125">
        <f t="shared" si="26"/>
        <v>4.111111111111111</v>
      </c>
    </row>
    <row r="38" spans="1:16" ht="15">
      <c r="A38" s="24" t="s">
        <v>306</v>
      </c>
      <c r="B38" s="257">
        <f>SUMIF(Camplist_Township,Shelter_Progress!$A38,Camplist_HH)</f>
        <v>0</v>
      </c>
      <c r="C38" s="257">
        <f>SUMIF(Camplist_Township,Shelter_Progress!$A38,Camplist_Popl)</f>
        <v>0</v>
      </c>
      <c r="D38" s="324">
        <f t="shared" si="14"/>
        <v>0</v>
      </c>
      <c r="E38" s="324">
        <f t="shared" si="15"/>
        <v>0</v>
      </c>
      <c r="F38" s="324">
        <f t="shared" si="16"/>
        <v>0</v>
      </c>
      <c r="G38" s="324">
        <f t="shared" si="17"/>
        <v>0</v>
      </c>
      <c r="H38" s="324">
        <f t="shared" si="18"/>
        <v>0</v>
      </c>
      <c r="I38" s="324">
        <f t="shared" si="19"/>
        <v>0</v>
      </c>
      <c r="J38" s="324">
        <f t="shared" si="20"/>
        <v>0</v>
      </c>
      <c r="K38" s="324">
        <f t="shared" si="21"/>
        <v>0</v>
      </c>
      <c r="L38" s="324">
        <f t="shared" si="29"/>
        <v>0</v>
      </c>
      <c r="M38" s="37">
        <f t="shared" si="24"/>
        <v>0</v>
      </c>
      <c r="N38" s="246">
        <f t="shared" si="22"/>
        <v>0</v>
      </c>
      <c r="O38" s="323">
        <f t="shared" si="25"/>
        <v>0</v>
      </c>
      <c r="P38" s="125">
        <f t="shared" si="26"/>
        <v>5</v>
      </c>
    </row>
    <row r="39" spans="1:16" ht="15">
      <c r="A39" s="24" t="s">
        <v>308</v>
      </c>
      <c r="B39" s="257">
        <f>SUMIF(Camplist_Township,Shelter_Progress!$A39,Camplist_HH)</f>
        <v>535</v>
      </c>
      <c r="C39" s="257">
        <f>SUMIF(Camplist_Township,Shelter_Progress!$A39,Camplist_Popl)</f>
        <v>2153</v>
      </c>
      <c r="D39" s="324">
        <f t="shared" si="14"/>
        <v>0</v>
      </c>
      <c r="E39" s="324">
        <f t="shared" si="15"/>
        <v>0</v>
      </c>
      <c r="F39" s="324">
        <f t="shared" si="16"/>
        <v>3</v>
      </c>
      <c r="G39" s="324">
        <f t="shared" si="17"/>
        <v>0</v>
      </c>
      <c r="H39" s="324">
        <f t="shared" si="18"/>
        <v>0</v>
      </c>
      <c r="I39" s="324">
        <f t="shared" si="19"/>
        <v>0</v>
      </c>
      <c r="J39" s="324">
        <f t="shared" si="20"/>
        <v>0</v>
      </c>
      <c r="K39" s="324">
        <f t="shared" si="21"/>
        <v>30</v>
      </c>
      <c r="L39" s="324">
        <f t="shared" si="29"/>
        <v>150</v>
      </c>
      <c r="M39" s="37">
        <f t="shared" si="24"/>
        <v>505</v>
      </c>
      <c r="N39" s="246">
        <f t="shared" si="22"/>
        <v>0.056074766355140186</v>
      </c>
      <c r="O39" s="323">
        <f t="shared" si="25"/>
        <v>2003</v>
      </c>
      <c r="P39" s="125">
        <f t="shared" si="26"/>
        <v>4.024299065420561</v>
      </c>
    </row>
    <row r="40" spans="1:16" ht="15">
      <c r="A40" s="28" t="s">
        <v>316</v>
      </c>
      <c r="B40" s="257">
        <f>SUMIF(Camplist_Township,Shelter_Progress!$A40,Camplist_HH)</f>
        <v>5769</v>
      </c>
      <c r="C40" s="257">
        <f>SUMIF(Camplist_Township,Shelter_Progress!$A40,Camplist_Popl)</f>
        <v>26775</v>
      </c>
      <c r="D40" s="324">
        <f t="shared" si="14"/>
        <v>0</v>
      </c>
      <c r="E40" s="324">
        <f t="shared" si="15"/>
        <v>0</v>
      </c>
      <c r="F40" s="324">
        <f t="shared" si="16"/>
        <v>156</v>
      </c>
      <c r="G40" s="324">
        <f t="shared" si="17"/>
        <v>0</v>
      </c>
      <c r="H40" s="324">
        <f t="shared" si="18"/>
        <v>766</v>
      </c>
      <c r="I40" s="324">
        <f t="shared" si="19"/>
        <v>0</v>
      </c>
      <c r="J40" s="324">
        <f t="shared" si="20"/>
        <v>766</v>
      </c>
      <c r="K40" s="324">
        <f t="shared" si="21"/>
        <v>2051</v>
      </c>
      <c r="L40" s="324">
        <f t="shared" si="29"/>
        <v>8253.83738317757</v>
      </c>
      <c r="M40" s="37">
        <f t="shared" si="24"/>
        <v>3718</v>
      </c>
      <c r="N40" s="246">
        <f t="shared" si="22"/>
        <v>0.35552088750216676</v>
      </c>
      <c r="O40" s="323">
        <f t="shared" si="25"/>
        <v>18521.162616822432</v>
      </c>
      <c r="P40" s="125">
        <f t="shared" si="26"/>
        <v>4.641185647425897</v>
      </c>
    </row>
    <row r="41" spans="1:15" s="238" customFormat="1" ht="15">
      <c r="A41" s="29" t="s">
        <v>5</v>
      </c>
      <c r="B41" s="259">
        <f aca="true" t="shared" si="30" ref="B41:M41">SUM(B22:B40)</f>
        <v>18338.6</v>
      </c>
      <c r="C41" s="259">
        <f t="shared" si="30"/>
        <v>83793</v>
      </c>
      <c r="D41" s="259">
        <f t="shared" si="30"/>
        <v>0</v>
      </c>
      <c r="E41" s="259">
        <f t="shared" si="30"/>
        <v>0</v>
      </c>
      <c r="F41" s="259">
        <f t="shared" si="30"/>
        <v>528</v>
      </c>
      <c r="G41" s="259">
        <f t="shared" si="30"/>
        <v>0</v>
      </c>
      <c r="H41" s="259">
        <f t="shared" si="30"/>
        <v>1379</v>
      </c>
      <c r="I41" s="259">
        <f t="shared" si="30"/>
        <v>0</v>
      </c>
      <c r="J41" s="259">
        <f t="shared" si="30"/>
        <v>1379</v>
      </c>
      <c r="K41" s="259">
        <f t="shared" si="30"/>
        <v>5915</v>
      </c>
      <c r="L41" s="259">
        <f t="shared" si="30"/>
        <v>24869.50191759065</v>
      </c>
      <c r="M41" s="126">
        <f t="shared" si="30"/>
        <v>12423.6</v>
      </c>
      <c r="N41" s="247">
        <f>K41/B41</f>
        <v>0.32254370562638374</v>
      </c>
      <c r="O41" s="260">
        <f>SUM(O22:O40)</f>
        <v>58951.34713901312</v>
      </c>
    </row>
    <row r="42" spans="1:2" s="238" customFormat="1" ht="15">
      <c r="A42" s="39" t="s">
        <v>1266</v>
      </c>
      <c r="B42" s="238" t="s">
        <v>1266</v>
      </c>
    </row>
    <row r="43" spans="1:14" ht="271.5" customHeight="1">
      <c r="A43" s="39"/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</row>
    <row r="44" spans="1:16" s="238" customFormat="1" ht="15">
      <c r="A44" s="39" t="s">
        <v>1265</v>
      </c>
      <c r="B44" t="s">
        <v>1266</v>
      </c>
      <c r="C44"/>
      <c r="D44"/>
      <c r="E44"/>
      <c r="F44"/>
      <c r="G44"/>
      <c r="H44"/>
      <c r="I44"/>
      <c r="J44"/>
      <c r="K44"/>
      <c r="L44"/>
      <c r="M44"/>
      <c r="N44"/>
      <c r="P44" s="125"/>
    </row>
    <row r="45" spans="1:15" ht="31.5">
      <c r="A45" s="275" t="s">
        <v>434</v>
      </c>
      <c r="B45" s="276"/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</row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spans="1:14" s="238" customFormat="1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ht="15">
      <c r="A64" s="238"/>
      <c r="B64" s="238"/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</row>
    <row r="65" ht="15"/>
    <row r="69" spans="1:16" s="238" customFormat="1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P69" s="125"/>
    </row>
    <row r="70" spans="1:15" ht="31.5">
      <c r="A70" s="275" t="s">
        <v>1264</v>
      </c>
      <c r="B70" s="276"/>
      <c r="C70" s="276"/>
      <c r="D70" s="276"/>
      <c r="E70" s="276"/>
      <c r="F70" s="276"/>
      <c r="G70" s="276"/>
      <c r="H70" s="276"/>
      <c r="I70" s="276"/>
      <c r="J70" s="276"/>
      <c r="K70" s="276"/>
      <c r="L70" s="276"/>
      <c r="M70" s="276"/>
      <c r="N70" s="276"/>
      <c r="O70" s="276"/>
    </row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94" spans="1:15" ht="15">
      <c r="A94" s="155" t="s">
        <v>451</v>
      </c>
      <c r="B94" s="242" t="s">
        <v>1290</v>
      </c>
      <c r="H94" s="155" t="s">
        <v>451</v>
      </c>
      <c r="I94" s="242" t="s">
        <v>433</v>
      </c>
      <c r="J94" s="238"/>
      <c r="O94"/>
    </row>
    <row r="95" spans="8:15" ht="15">
      <c r="H95" s="238"/>
      <c r="I95" s="238"/>
      <c r="J95" s="238"/>
      <c r="O95"/>
    </row>
    <row r="96" spans="1:15" ht="15">
      <c r="A96" s="155" t="s">
        <v>809</v>
      </c>
      <c r="B96" s="242" t="s">
        <v>1317</v>
      </c>
      <c r="C96" s="242" t="s">
        <v>1318</v>
      </c>
      <c r="H96" s="155" t="s">
        <v>809</v>
      </c>
      <c r="I96" t="s">
        <v>1316</v>
      </c>
      <c r="O96"/>
    </row>
    <row r="97" spans="1:15" ht="15">
      <c r="A97" s="68" t="s">
        <v>1174</v>
      </c>
      <c r="B97" s="8"/>
      <c r="C97" s="8"/>
      <c r="H97" s="68" t="s">
        <v>963</v>
      </c>
      <c r="I97" s="8">
        <v>1379</v>
      </c>
      <c r="O97"/>
    </row>
    <row r="98" spans="1:15" ht="15">
      <c r="A98" s="68" t="s">
        <v>963</v>
      </c>
      <c r="B98" s="8">
        <v>54</v>
      </c>
      <c r="C98" s="8">
        <v>134</v>
      </c>
      <c r="H98" s="68" t="s">
        <v>960</v>
      </c>
      <c r="I98" s="8"/>
      <c r="O98"/>
    </row>
    <row r="99" spans="1:15" ht="15">
      <c r="A99" s="68" t="s">
        <v>968</v>
      </c>
      <c r="B99" s="8">
        <v>1549</v>
      </c>
      <c r="C99" s="8">
        <v>832</v>
      </c>
      <c r="H99" s="68" t="s">
        <v>810</v>
      </c>
      <c r="I99" s="8">
        <v>1379</v>
      </c>
      <c r="O99"/>
    </row>
    <row r="100" spans="1:15" ht="15">
      <c r="A100" s="68" t="s">
        <v>973</v>
      </c>
      <c r="B100" s="8">
        <v>80</v>
      </c>
      <c r="C100" s="8">
        <v>0</v>
      </c>
      <c r="O100"/>
    </row>
    <row r="101" spans="1:15" ht="15">
      <c r="A101" s="68" t="s">
        <v>971</v>
      </c>
      <c r="B101" s="8">
        <v>0</v>
      </c>
      <c r="C101" s="8">
        <v>64</v>
      </c>
      <c r="O101"/>
    </row>
    <row r="102" spans="1:15" ht="15">
      <c r="A102" s="68" t="s">
        <v>970</v>
      </c>
      <c r="B102" s="8">
        <v>120</v>
      </c>
      <c r="C102" s="8">
        <v>50</v>
      </c>
      <c r="O102"/>
    </row>
    <row r="103" spans="1:15" ht="15">
      <c r="A103" s="68" t="s">
        <v>969</v>
      </c>
      <c r="B103" s="8">
        <v>234</v>
      </c>
      <c r="C103" s="8">
        <v>161</v>
      </c>
      <c r="O103"/>
    </row>
    <row r="104" spans="1:15" ht="15">
      <c r="A104" s="68" t="s">
        <v>974</v>
      </c>
      <c r="B104" s="8">
        <v>76</v>
      </c>
      <c r="C104" s="8">
        <v>0</v>
      </c>
      <c r="O104"/>
    </row>
    <row r="105" spans="1:15" ht="15">
      <c r="A105" s="68" t="s">
        <v>960</v>
      </c>
      <c r="B105" s="8">
        <v>730</v>
      </c>
      <c r="C105" s="8">
        <v>1264</v>
      </c>
      <c r="O105"/>
    </row>
    <row r="106" spans="1:15" ht="15">
      <c r="A106" s="68" t="s">
        <v>972</v>
      </c>
      <c r="B106" s="8">
        <v>120</v>
      </c>
      <c r="C106" s="8">
        <v>0</v>
      </c>
      <c r="O106"/>
    </row>
    <row r="107" spans="1:15" ht="15">
      <c r="A107" s="68" t="s">
        <v>810</v>
      </c>
      <c r="B107" s="8">
        <v>2963</v>
      </c>
      <c r="C107" s="8">
        <v>2505</v>
      </c>
      <c r="O107"/>
    </row>
  </sheetData>
  <mergeCells count="1">
    <mergeCell ref="A3:C3"/>
  </mergeCells>
  <printOptions/>
  <pageMargins left="0.7" right="0.7" top="0.75" bottom="0.75" header="0.3" footer="0.3"/>
  <pageSetup fitToHeight="2" fitToWidth="1" horizontalDpi="600" verticalDpi="600" orientation="landscape" scale="49" r:id="rId2"/>
  <rowBreaks count="2" manualBreakCount="2">
    <brk id="41" max="16383" man="1"/>
    <brk id="42" max="1638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G220"/>
  <sheetViews>
    <sheetView showZeros="0" zoomScale="60" zoomScaleNormal="60" workbookViewId="0" topLeftCell="A1"/>
  </sheetViews>
  <sheetFormatPr defaultColWidth="9.140625" defaultRowHeight="15"/>
  <cols>
    <col min="1" max="1" width="19.421875" style="159" customWidth="1"/>
    <col min="2" max="2" width="31.57421875" style="159" customWidth="1"/>
    <col min="3" max="3" width="50.140625" style="159" customWidth="1"/>
    <col min="4" max="4" width="30.8515625" style="159" customWidth="1"/>
    <col min="5" max="5" width="49.7109375" style="159" customWidth="1"/>
    <col min="6" max="6" width="10.00390625" style="159" customWidth="1"/>
    <col min="7" max="7" width="7.7109375" style="159" customWidth="1"/>
    <col min="8" max="8" width="11.00390625" style="159" customWidth="1"/>
    <col min="9" max="9" width="19.7109375" style="159" customWidth="1"/>
    <col min="10" max="16384" width="9.140625" style="159" customWidth="1"/>
  </cols>
  <sheetData>
    <row r="1" spans="1:59" s="2" customFormat="1" ht="36">
      <c r="A1" s="282"/>
      <c r="B1" s="282"/>
      <c r="C1" s="282"/>
      <c r="D1" s="282"/>
      <c r="E1" s="282"/>
      <c r="F1" s="282"/>
      <c r="BF1" s="283"/>
      <c r="BG1" s="283"/>
    </row>
    <row r="2" spans="1:59" s="2" customFormat="1" ht="36">
      <c r="A2" s="282" t="s">
        <v>999</v>
      </c>
      <c r="B2" s="282"/>
      <c r="C2" s="282"/>
      <c r="D2" s="282"/>
      <c r="E2" s="282"/>
      <c r="F2" s="282"/>
      <c r="BF2" s="283"/>
      <c r="BG2" s="283"/>
    </row>
    <row r="3" spans="1:59" s="39" customFormat="1" ht="18" customHeight="1">
      <c r="A3" s="328" t="str">
        <f>Report_Date</f>
        <v>Juin 2013</v>
      </c>
      <c r="B3" s="328"/>
      <c r="C3" s="328"/>
      <c r="D3" s="182"/>
      <c r="E3" s="182"/>
      <c r="F3" s="182"/>
      <c r="G3" s="182"/>
      <c r="H3" s="182"/>
      <c r="I3" s="182"/>
      <c r="J3" s="182"/>
      <c r="L3" s="182"/>
      <c r="M3" s="182"/>
      <c r="N3" s="182"/>
      <c r="O3" s="182"/>
      <c r="P3" s="182"/>
      <c r="Q3" s="182"/>
      <c r="R3" s="182"/>
      <c r="S3" s="284"/>
      <c r="T3" s="182"/>
      <c r="U3" s="182"/>
      <c r="BF3" s="284"/>
      <c r="BG3" s="284"/>
    </row>
    <row r="4" ht="15" customHeight="1"/>
    <row r="5" spans="1:3" ht="15">
      <c r="A5" s="155" t="s">
        <v>451</v>
      </c>
      <c r="B5" s="242" t="s">
        <v>434</v>
      </c>
      <c r="C5" s="11" t="s">
        <v>817</v>
      </c>
    </row>
    <row r="7" spans="1:9" ht="15">
      <c r="A7" s="155" t="s">
        <v>809</v>
      </c>
      <c r="B7" s="305" t="s">
        <v>819</v>
      </c>
      <c r="C7" s="305" t="s">
        <v>820</v>
      </c>
      <c r="D7" s="305" t="s">
        <v>992</v>
      </c>
      <c r="E7" s="305" t="s">
        <v>993</v>
      </c>
      <c r="F7"/>
      <c r="G7"/>
      <c r="H7"/>
      <c r="I7"/>
    </row>
    <row r="8" spans="1:9" ht="15">
      <c r="A8" s="68" t="s">
        <v>1174</v>
      </c>
      <c r="B8" s="8"/>
      <c r="C8" s="8"/>
      <c r="D8" s="8"/>
      <c r="E8" s="8">
        <v>60</v>
      </c>
      <c r="F8"/>
      <c r="G8"/>
      <c r="H8"/>
      <c r="I8"/>
    </row>
    <row r="9" spans="1:9" ht="15">
      <c r="A9" s="68" t="s">
        <v>963</v>
      </c>
      <c r="B9" s="8">
        <v>54</v>
      </c>
      <c r="C9" s="8">
        <v>134</v>
      </c>
      <c r="D9" s="8"/>
      <c r="E9" s="8"/>
      <c r="F9"/>
      <c r="G9"/>
      <c r="H9"/>
      <c r="I9"/>
    </row>
    <row r="10" spans="1:9" ht="15">
      <c r="A10" s="68" t="s">
        <v>968</v>
      </c>
      <c r="B10" s="8">
        <v>1549</v>
      </c>
      <c r="C10" s="8">
        <v>832</v>
      </c>
      <c r="D10" s="8">
        <v>204</v>
      </c>
      <c r="E10" s="8">
        <v>25</v>
      </c>
      <c r="F10"/>
      <c r="G10"/>
      <c r="H10"/>
      <c r="I10"/>
    </row>
    <row r="11" spans="1:9" ht="15">
      <c r="A11" s="68" t="s">
        <v>973</v>
      </c>
      <c r="B11" s="8">
        <v>80</v>
      </c>
      <c r="C11" s="8">
        <v>0</v>
      </c>
      <c r="D11" s="8"/>
      <c r="E11" s="8"/>
      <c r="F11"/>
      <c r="G11"/>
      <c r="H11"/>
      <c r="I11"/>
    </row>
    <row r="12" spans="1:9" ht="15">
      <c r="A12" s="68" t="s">
        <v>971</v>
      </c>
      <c r="B12" s="8">
        <v>0</v>
      </c>
      <c r="C12" s="8">
        <v>64</v>
      </c>
      <c r="D12" s="8"/>
      <c r="E12" s="8"/>
      <c r="F12"/>
      <c r="G12"/>
      <c r="H12"/>
      <c r="I12"/>
    </row>
    <row r="13" spans="1:6" s="238" customFormat="1" ht="15">
      <c r="A13" s="68" t="s">
        <v>970</v>
      </c>
      <c r="B13" s="8">
        <v>120</v>
      </c>
      <c r="C13" s="8">
        <v>50</v>
      </c>
      <c r="D13" s="8"/>
      <c r="E13" s="8"/>
      <c r="F13"/>
    </row>
    <row r="14" spans="1:9" ht="15">
      <c r="A14" s="68" t="s">
        <v>969</v>
      </c>
      <c r="B14" s="8">
        <v>234</v>
      </c>
      <c r="C14" s="8">
        <v>161</v>
      </c>
      <c r="D14" s="8"/>
      <c r="E14" s="8"/>
      <c r="F14"/>
      <c r="G14"/>
      <c r="H14"/>
      <c r="I14"/>
    </row>
    <row r="15" spans="1:9" ht="15">
      <c r="A15" s="68" t="s">
        <v>974</v>
      </c>
      <c r="B15" s="8">
        <v>76</v>
      </c>
      <c r="C15" s="8">
        <v>0</v>
      </c>
      <c r="D15" s="8"/>
      <c r="E15" s="8"/>
      <c r="F15"/>
      <c r="G15"/>
      <c r="H15"/>
      <c r="I15"/>
    </row>
    <row r="16" spans="1:9" ht="15">
      <c r="A16" s="68" t="s">
        <v>960</v>
      </c>
      <c r="B16" s="8">
        <v>730</v>
      </c>
      <c r="C16" s="8">
        <v>689</v>
      </c>
      <c r="D16" s="8">
        <v>159</v>
      </c>
      <c r="E16" s="8">
        <v>48</v>
      </c>
      <c r="F16"/>
      <c r="G16"/>
      <c r="H16"/>
      <c r="I16"/>
    </row>
    <row r="17" spans="1:9" ht="15">
      <c r="A17" s="68" t="s">
        <v>972</v>
      </c>
      <c r="B17" s="8">
        <v>120</v>
      </c>
      <c r="C17" s="8">
        <v>0</v>
      </c>
      <c r="D17" s="8"/>
      <c r="E17" s="8"/>
      <c r="F17"/>
      <c r="G17"/>
      <c r="H17"/>
      <c r="I17"/>
    </row>
    <row r="18" spans="1:9" ht="15">
      <c r="A18" s="68" t="s">
        <v>810</v>
      </c>
      <c r="B18" s="8">
        <v>2963</v>
      </c>
      <c r="C18" s="8">
        <v>1930</v>
      </c>
      <c r="D18" s="8">
        <v>363</v>
      </c>
      <c r="E18" s="8">
        <v>133</v>
      </c>
      <c r="F18"/>
      <c r="G18"/>
      <c r="H18"/>
      <c r="I18"/>
    </row>
    <row r="19" spans="1:6" ht="15">
      <c r="A19"/>
      <c r="B19"/>
      <c r="C19"/>
      <c r="D19"/>
      <c r="E19"/>
      <c r="F19"/>
    </row>
    <row r="20" spans="1:6" ht="15">
      <c r="A20"/>
      <c r="B20"/>
      <c r="C20"/>
      <c r="D20"/>
      <c r="E20"/>
      <c r="F20"/>
    </row>
    <row r="21" spans="1:6" ht="15">
      <c r="A21"/>
      <c r="B21"/>
      <c r="C21"/>
      <c r="D21"/>
      <c r="E21"/>
      <c r="F21"/>
    </row>
    <row r="22" spans="1:6" ht="15">
      <c r="A22"/>
      <c r="B22"/>
      <c r="C22"/>
      <c r="D22"/>
      <c r="E22"/>
      <c r="F22"/>
    </row>
    <row r="23" spans="1:6" ht="15">
      <c r="A23"/>
      <c r="B23"/>
      <c r="C23"/>
      <c r="D23"/>
      <c r="E23"/>
      <c r="F23"/>
    </row>
    <row r="24" spans="1:6" ht="15">
      <c r="A24"/>
      <c r="B24"/>
      <c r="C24"/>
      <c r="D24"/>
      <c r="E24"/>
      <c r="F24"/>
    </row>
    <row r="25" spans="1:6" ht="15">
      <c r="A25"/>
      <c r="B25"/>
      <c r="C25"/>
      <c r="D25"/>
      <c r="E25"/>
      <c r="F25"/>
    </row>
    <row r="26" spans="1:6" ht="15">
      <c r="A26"/>
      <c r="B26"/>
      <c r="C26"/>
      <c r="D26"/>
      <c r="E26"/>
      <c r="F26"/>
    </row>
    <row r="27" spans="1:6" ht="15">
      <c r="A27"/>
      <c r="B27"/>
      <c r="C27"/>
      <c r="D27"/>
      <c r="E27"/>
      <c r="F27"/>
    </row>
    <row r="28" spans="1:6" ht="15">
      <c r="A28"/>
      <c r="B28"/>
      <c r="C28"/>
      <c r="D28"/>
      <c r="E28"/>
      <c r="F28"/>
    </row>
    <row r="29" spans="1:6" ht="15">
      <c r="A29"/>
      <c r="B29"/>
      <c r="C29"/>
      <c r="D29"/>
      <c r="E29"/>
      <c r="F29"/>
    </row>
    <row r="30" spans="1:6" ht="15">
      <c r="A30"/>
      <c r="B30"/>
      <c r="C30"/>
      <c r="D30"/>
      <c r="E30"/>
      <c r="F30"/>
    </row>
    <row r="31" spans="1:6" ht="15">
      <c r="A31"/>
      <c r="B31"/>
      <c r="C31"/>
      <c r="D31"/>
      <c r="E31"/>
      <c r="F31"/>
    </row>
    <row r="32" spans="1:6" ht="15">
      <c r="A32"/>
      <c r="B32"/>
      <c r="C32"/>
      <c r="D32"/>
      <c r="E32"/>
      <c r="F32"/>
    </row>
    <row r="33" spans="1:6" ht="15">
      <c r="A33"/>
      <c r="B33"/>
      <c r="C33"/>
      <c r="D33"/>
      <c r="E33"/>
      <c r="F33"/>
    </row>
    <row r="34" spans="1:6" ht="15">
      <c r="A34"/>
      <c r="B34"/>
      <c r="C34"/>
      <c r="D34"/>
      <c r="E34"/>
      <c r="F34"/>
    </row>
    <row r="35" spans="1:6" ht="15">
      <c r="A35"/>
      <c r="B35"/>
      <c r="C35"/>
      <c r="D35"/>
      <c r="E35"/>
      <c r="F35"/>
    </row>
    <row r="36" spans="1:6" ht="15">
      <c r="A36"/>
      <c r="B36"/>
      <c r="C36"/>
      <c r="D36"/>
      <c r="E36"/>
      <c r="F36"/>
    </row>
    <row r="37" spans="1:6" ht="15">
      <c r="A37"/>
      <c r="B37"/>
      <c r="C37"/>
      <c r="D37"/>
      <c r="E37"/>
      <c r="F37"/>
    </row>
    <row r="38" spans="1:6" ht="15">
      <c r="A38"/>
      <c r="B38"/>
      <c r="C38"/>
      <c r="D38"/>
      <c r="E38"/>
      <c r="F38"/>
    </row>
    <row r="39" spans="1:6" ht="15">
      <c r="A39"/>
      <c r="B39"/>
      <c r="C39"/>
      <c r="D39"/>
      <c r="E39"/>
      <c r="F39"/>
    </row>
    <row r="40" spans="1:6" ht="15">
      <c r="A40"/>
      <c r="B40"/>
      <c r="C40"/>
      <c r="D40"/>
      <c r="E40"/>
      <c r="F40"/>
    </row>
    <row r="41" spans="1:6" ht="15">
      <c r="A41"/>
      <c r="B41"/>
      <c r="C41"/>
      <c r="D41"/>
      <c r="E41"/>
      <c r="F41"/>
    </row>
    <row r="42" spans="1:6" ht="15">
      <c r="A42"/>
      <c r="B42"/>
      <c r="C42"/>
      <c r="D42"/>
      <c r="E42"/>
      <c r="F42"/>
    </row>
    <row r="43" spans="1:6" ht="15">
      <c r="A43"/>
      <c r="B43"/>
      <c r="C43"/>
      <c r="D43"/>
      <c r="E43"/>
      <c r="F43"/>
    </row>
    <row r="44" spans="1:6" ht="15">
      <c r="A44"/>
      <c r="B44"/>
      <c r="C44"/>
      <c r="D44"/>
      <c r="E44"/>
      <c r="F44"/>
    </row>
    <row r="45" spans="1:6" ht="15">
      <c r="A45"/>
      <c r="B45"/>
      <c r="C45"/>
      <c r="D45"/>
      <c r="E45"/>
      <c r="F45"/>
    </row>
    <row r="46" spans="1:6" ht="15">
      <c r="A46" s="155" t="s">
        <v>451</v>
      </c>
      <c r="B46" s="242" t="s">
        <v>433</v>
      </c>
      <c r="C46" s="11" t="s">
        <v>817</v>
      </c>
      <c r="D46" s="242"/>
      <c r="E46" s="242"/>
      <c r="F46"/>
    </row>
    <row r="47" spans="1:6" ht="15">
      <c r="A47" s="242"/>
      <c r="B47" s="242"/>
      <c r="C47" s="242"/>
      <c r="D47" s="242"/>
      <c r="E47" s="242"/>
      <c r="F47"/>
    </row>
    <row r="48" spans="1:6" ht="15">
      <c r="A48" s="155" t="s">
        <v>809</v>
      </c>
      <c r="B48" s="305" t="s">
        <v>819</v>
      </c>
      <c r="C48" s="305" t="s">
        <v>820</v>
      </c>
      <c r="D48" s="305" t="s">
        <v>992</v>
      </c>
      <c r="E48" s="305" t="s">
        <v>993</v>
      </c>
      <c r="F48"/>
    </row>
    <row r="49" spans="1:6" ht="15">
      <c r="A49" s="68" t="s">
        <v>963</v>
      </c>
      <c r="B49" s="8"/>
      <c r="C49" s="8"/>
      <c r="D49" s="8">
        <v>1379</v>
      </c>
      <c r="E49" s="8"/>
      <c r="F49"/>
    </row>
    <row r="50" spans="1:6" ht="15">
      <c r="A50" s="68" t="s">
        <v>960</v>
      </c>
      <c r="B50" s="8"/>
      <c r="C50" s="8">
        <v>575</v>
      </c>
      <c r="D50" s="8"/>
      <c r="E50" s="8"/>
      <c r="F50"/>
    </row>
    <row r="51" spans="1:6" ht="15">
      <c r="A51" s="68" t="s">
        <v>810</v>
      </c>
      <c r="B51" s="8"/>
      <c r="C51" s="8">
        <v>575</v>
      </c>
      <c r="D51" s="8">
        <v>1379</v>
      </c>
      <c r="E51" s="8"/>
      <c r="F51"/>
    </row>
    <row r="52" spans="1:6" ht="15">
      <c r="A52"/>
      <c r="B52"/>
      <c r="C52"/>
      <c r="D52"/>
      <c r="E52"/>
      <c r="F52"/>
    </row>
    <row r="53" spans="1:6" ht="15">
      <c r="A53"/>
      <c r="B53"/>
      <c r="C53"/>
      <c r="D53"/>
      <c r="E53"/>
      <c r="F53"/>
    </row>
    <row r="54" spans="1:6" ht="15">
      <c r="A54"/>
      <c r="B54"/>
      <c r="C54"/>
      <c r="D54"/>
      <c r="E54"/>
      <c r="F54"/>
    </row>
    <row r="55" spans="1:6" ht="15">
      <c r="A55"/>
      <c r="B55"/>
      <c r="C55"/>
      <c r="D55"/>
      <c r="E55"/>
      <c r="F55"/>
    </row>
    <row r="56" spans="1:6" ht="15">
      <c r="A56"/>
      <c r="B56"/>
      <c r="C56"/>
      <c r="D56"/>
      <c r="E56"/>
      <c r="F56"/>
    </row>
    <row r="57" spans="1:6" ht="15">
      <c r="A57"/>
      <c r="B57"/>
      <c r="C57"/>
      <c r="D57"/>
      <c r="E57"/>
      <c r="F57"/>
    </row>
    <row r="58" spans="1:6" ht="15">
      <c r="A58"/>
      <c r="B58"/>
      <c r="C58"/>
      <c r="D58"/>
      <c r="E58"/>
      <c r="F58"/>
    </row>
    <row r="59" spans="1:6" ht="15">
      <c r="A59"/>
      <c r="B59"/>
      <c r="C59"/>
      <c r="D59"/>
      <c r="E59"/>
      <c r="F59"/>
    </row>
    <row r="60" spans="1:6" ht="15">
      <c r="A60"/>
      <c r="B60"/>
      <c r="C60"/>
      <c r="D60"/>
      <c r="E60"/>
      <c r="F60"/>
    </row>
    <row r="61" spans="1:6" ht="15">
      <c r="A61"/>
      <c r="B61"/>
      <c r="C61"/>
      <c r="D61"/>
      <c r="E61"/>
      <c r="F61"/>
    </row>
    <row r="62" spans="1:6" ht="15">
      <c r="A62"/>
      <c r="B62"/>
      <c r="C62"/>
      <c r="D62"/>
      <c r="E62"/>
      <c r="F62"/>
    </row>
    <row r="63" spans="1:6" ht="15">
      <c r="A63"/>
      <c r="B63"/>
      <c r="C63"/>
      <c r="D63"/>
      <c r="E63"/>
      <c r="F63"/>
    </row>
    <row r="64" spans="1:6" ht="15">
      <c r="A64"/>
      <c r="B64"/>
      <c r="C64"/>
      <c r="D64"/>
      <c r="E64"/>
      <c r="F64"/>
    </row>
    <row r="65" spans="1:6" ht="15">
      <c r="A65"/>
      <c r="B65"/>
      <c r="C65"/>
      <c r="D65"/>
      <c r="E65"/>
      <c r="F65"/>
    </row>
    <row r="66" spans="1:6" ht="15">
      <c r="A66"/>
      <c r="B66"/>
      <c r="C66"/>
      <c r="D66"/>
      <c r="E66"/>
      <c r="F66"/>
    </row>
    <row r="67" spans="1:6" ht="15">
      <c r="A67"/>
      <c r="B67"/>
      <c r="C67"/>
      <c r="D67"/>
      <c r="E67"/>
      <c r="F67"/>
    </row>
    <row r="68" spans="1:6" ht="15">
      <c r="A68"/>
      <c r="B68"/>
      <c r="C68"/>
      <c r="D68"/>
      <c r="E68"/>
      <c r="F68"/>
    </row>
    <row r="69" spans="1:6" ht="15">
      <c r="A69"/>
      <c r="B69"/>
      <c r="C69"/>
      <c r="D69"/>
      <c r="E69"/>
      <c r="F69"/>
    </row>
    <row r="70" spans="1:6" ht="15">
      <c r="A70"/>
      <c r="B70"/>
      <c r="C70"/>
      <c r="D70"/>
      <c r="E70"/>
      <c r="F70"/>
    </row>
    <row r="71" spans="1:6" ht="15">
      <c r="A71"/>
      <c r="B71"/>
      <c r="C71"/>
      <c r="D71"/>
      <c r="E71"/>
      <c r="F71"/>
    </row>
    <row r="72" spans="1:6" ht="15">
      <c r="A72"/>
      <c r="B72"/>
      <c r="C72"/>
      <c r="D72"/>
      <c r="E72"/>
      <c r="F72"/>
    </row>
    <row r="73" spans="1:6" ht="15">
      <c r="A73"/>
      <c r="B73"/>
      <c r="C73"/>
      <c r="D73"/>
      <c r="E73"/>
      <c r="F73"/>
    </row>
    <row r="74" spans="1:6" ht="15">
      <c r="A74"/>
      <c r="B74"/>
      <c r="C74"/>
      <c r="D74"/>
      <c r="E74"/>
      <c r="F74"/>
    </row>
    <row r="75" spans="1:6" ht="15">
      <c r="A75"/>
      <c r="B75"/>
      <c r="C75"/>
      <c r="D75"/>
      <c r="E75"/>
      <c r="F75"/>
    </row>
    <row r="76" spans="1:5" ht="15">
      <c r="A76"/>
      <c r="B76"/>
      <c r="C76"/>
      <c r="D76"/>
      <c r="E76"/>
    </row>
    <row r="77" spans="1:5" ht="15">
      <c r="A77"/>
      <c r="B77"/>
      <c r="C77"/>
      <c r="D77"/>
      <c r="E77"/>
    </row>
    <row r="78" spans="1:5" ht="15">
      <c r="A78"/>
      <c r="B78"/>
      <c r="C78"/>
      <c r="D78"/>
      <c r="E78"/>
    </row>
    <row r="79" spans="1:5" ht="15">
      <c r="A79"/>
      <c r="B79"/>
      <c r="C79"/>
      <c r="D79"/>
      <c r="E79"/>
    </row>
    <row r="80" spans="1:5" ht="15">
      <c r="A80"/>
      <c r="B80"/>
      <c r="C80"/>
      <c r="D80"/>
      <c r="E80"/>
    </row>
    <row r="81" spans="1:5" ht="15">
      <c r="A81"/>
      <c r="B81"/>
      <c r="C81"/>
      <c r="D81"/>
      <c r="E81"/>
    </row>
    <row r="82" spans="1:5" ht="15">
      <c r="A82"/>
      <c r="B82"/>
      <c r="C82"/>
      <c r="D82"/>
      <c r="E82"/>
    </row>
    <row r="83" spans="1:5" ht="15">
      <c r="A83"/>
      <c r="B83"/>
      <c r="C83"/>
      <c r="D83"/>
      <c r="E83"/>
    </row>
    <row r="84" spans="1:5" ht="15">
      <c r="A84"/>
      <c r="B84"/>
      <c r="C84"/>
      <c r="D84"/>
      <c r="E84"/>
    </row>
    <row r="85" spans="1:5" ht="15">
      <c r="A85"/>
      <c r="B85"/>
      <c r="C85"/>
      <c r="D85"/>
      <c r="E85"/>
    </row>
    <row r="86" spans="1:5" ht="15">
      <c r="A86"/>
      <c r="B86"/>
      <c r="C86"/>
      <c r="D86"/>
      <c r="E86"/>
    </row>
    <row r="87" spans="1:5" ht="15">
      <c r="A87"/>
      <c r="B87"/>
      <c r="C87"/>
      <c r="D87"/>
      <c r="E87"/>
    </row>
    <row r="88" spans="1:5" ht="15">
      <c r="A88"/>
      <c r="B88"/>
      <c r="C88"/>
      <c r="D88"/>
      <c r="E88"/>
    </row>
    <row r="89" spans="1:3" ht="15">
      <c r="A89"/>
      <c r="B89"/>
      <c r="C89"/>
    </row>
    <row r="90" spans="1:3" ht="15">
      <c r="A90"/>
      <c r="B90"/>
      <c r="C90"/>
    </row>
    <row r="91" spans="1:3" ht="15">
      <c r="A91"/>
      <c r="B91"/>
      <c r="C91"/>
    </row>
    <row r="92" spans="1:3" ht="15">
      <c r="A92"/>
      <c r="B92"/>
      <c r="C92"/>
    </row>
    <row r="93" spans="1:3" ht="15">
      <c r="A93"/>
      <c r="B93"/>
      <c r="C93"/>
    </row>
    <row r="94" spans="1:3" ht="15">
      <c r="A94"/>
      <c r="B94"/>
      <c r="C94"/>
    </row>
    <row r="95" spans="1:3" ht="15">
      <c r="A95"/>
      <c r="B95"/>
      <c r="C95"/>
    </row>
    <row r="96" spans="1:3" ht="15">
      <c r="A96"/>
      <c r="B96"/>
      <c r="C96"/>
    </row>
    <row r="97" spans="1:3" ht="15">
      <c r="A97"/>
      <c r="B97"/>
      <c r="C97"/>
    </row>
    <row r="98" spans="1:3" ht="15">
      <c r="A98"/>
      <c r="B98"/>
      <c r="C98"/>
    </row>
    <row r="99" spans="1:3" ht="15">
      <c r="A99"/>
      <c r="B99"/>
      <c r="C99"/>
    </row>
    <row r="100" spans="1:3" ht="15">
      <c r="A100"/>
      <c r="B100"/>
      <c r="C100"/>
    </row>
    <row r="101" spans="1:3" ht="15">
      <c r="A101"/>
      <c r="B101"/>
      <c r="C101"/>
    </row>
    <row r="102" spans="1:3" ht="15">
      <c r="A102"/>
      <c r="B102"/>
      <c r="C102"/>
    </row>
    <row r="103" spans="1:3" ht="15">
      <c r="A103"/>
      <c r="B103"/>
      <c r="C103"/>
    </row>
    <row r="104" spans="1:3" ht="15">
      <c r="A104"/>
      <c r="B104"/>
      <c r="C104"/>
    </row>
    <row r="105" spans="1:3" ht="15">
      <c r="A105"/>
      <c r="B105"/>
      <c r="C105"/>
    </row>
    <row r="106" spans="1:3" ht="15">
      <c r="A106"/>
      <c r="B106"/>
      <c r="C106"/>
    </row>
    <row r="107" spans="1:3" ht="15">
      <c r="A107"/>
      <c r="B107"/>
      <c r="C107"/>
    </row>
    <row r="108" spans="1:3" ht="15">
      <c r="A108"/>
      <c r="B108"/>
      <c r="C108"/>
    </row>
    <row r="109" spans="1:3" ht="15">
      <c r="A109"/>
      <c r="B109"/>
      <c r="C109"/>
    </row>
    <row r="110" spans="1:3" ht="15">
      <c r="A110"/>
      <c r="B110"/>
      <c r="C110"/>
    </row>
    <row r="111" spans="1:3" ht="15">
      <c r="A111"/>
      <c r="B111"/>
      <c r="C111"/>
    </row>
    <row r="112" spans="1:3" ht="15">
      <c r="A112"/>
      <c r="B112"/>
      <c r="C112"/>
    </row>
    <row r="113" spans="1:3" ht="15">
      <c r="A113"/>
      <c r="B113"/>
      <c r="C113"/>
    </row>
    <row r="114" spans="1:3" ht="15">
      <c r="A114"/>
      <c r="B114"/>
      <c r="C114"/>
    </row>
    <row r="115" spans="1:3" ht="15">
      <c r="A115"/>
      <c r="B115"/>
      <c r="C115"/>
    </row>
    <row r="116" spans="1:3" ht="15">
      <c r="A116"/>
      <c r="B116"/>
      <c r="C116"/>
    </row>
    <row r="117" spans="1:3" ht="15">
      <c r="A117"/>
      <c r="B117"/>
      <c r="C117"/>
    </row>
    <row r="118" spans="1:3" ht="15">
      <c r="A118"/>
      <c r="B118"/>
      <c r="C118"/>
    </row>
    <row r="119" spans="1:3" ht="15">
      <c r="A119"/>
      <c r="B119"/>
      <c r="C119"/>
    </row>
    <row r="120" spans="1:3" ht="15">
      <c r="A120"/>
      <c r="B120"/>
      <c r="C120"/>
    </row>
    <row r="121" spans="1:3" ht="15">
      <c r="A121"/>
      <c r="B121"/>
      <c r="C121"/>
    </row>
    <row r="122" spans="1:3" ht="15">
      <c r="A122"/>
      <c r="B122"/>
      <c r="C122"/>
    </row>
    <row r="123" spans="1:3" ht="15">
      <c r="A123"/>
      <c r="B123"/>
      <c r="C123"/>
    </row>
    <row r="124" spans="1:3" ht="15">
      <c r="A124"/>
      <c r="B124"/>
      <c r="C124"/>
    </row>
    <row r="125" spans="1:2" ht="15">
      <c r="A125"/>
      <c r="B125"/>
    </row>
    <row r="126" spans="1:2" ht="15">
      <c r="A126"/>
      <c r="B126"/>
    </row>
    <row r="127" spans="1:2" ht="15">
      <c r="A127"/>
      <c r="B127"/>
    </row>
    <row r="128" spans="1:2" ht="15">
      <c r="A128"/>
      <c r="B128"/>
    </row>
    <row r="129" spans="1:2" ht="15">
      <c r="A129"/>
      <c r="B129"/>
    </row>
    <row r="130" spans="1:2" ht="15">
      <c r="A130"/>
      <c r="B130"/>
    </row>
    <row r="131" spans="1:2" ht="15">
      <c r="A131"/>
      <c r="B131"/>
    </row>
    <row r="132" spans="1:2" ht="15">
      <c r="A132"/>
      <c r="B132"/>
    </row>
    <row r="133" spans="1:2" ht="15">
      <c r="A133"/>
      <c r="B133"/>
    </row>
    <row r="134" spans="1:2" ht="15">
      <c r="A134"/>
      <c r="B134"/>
    </row>
    <row r="135" spans="1:2" ht="15">
      <c r="A135"/>
      <c r="B135"/>
    </row>
    <row r="136" spans="1:2" ht="15">
      <c r="A136"/>
      <c r="B136"/>
    </row>
    <row r="137" spans="1:2" ht="15">
      <c r="A137"/>
      <c r="B137"/>
    </row>
    <row r="138" spans="1:2" ht="15">
      <c r="A138"/>
      <c r="B138"/>
    </row>
    <row r="139" spans="1:2" ht="15">
      <c r="A139"/>
      <c r="B139"/>
    </row>
    <row r="140" spans="1:2" ht="15">
      <c r="A140"/>
      <c r="B140"/>
    </row>
    <row r="141" spans="1:2" ht="15">
      <c r="A141"/>
      <c r="B141"/>
    </row>
    <row r="142" spans="1:2" ht="15">
      <c r="A142"/>
      <c r="B142"/>
    </row>
    <row r="143" spans="1:2" ht="15">
      <c r="A143"/>
      <c r="B143"/>
    </row>
    <row r="144" spans="1:2" ht="15">
      <c r="A144"/>
      <c r="B144"/>
    </row>
    <row r="145" spans="1:2" ht="15">
      <c r="A145"/>
      <c r="B145"/>
    </row>
    <row r="146" spans="1:2" ht="15">
      <c r="A146"/>
      <c r="B146"/>
    </row>
    <row r="147" spans="1:2" ht="15">
      <c r="A147"/>
      <c r="B147"/>
    </row>
    <row r="148" spans="1:2" ht="15">
      <c r="A148"/>
      <c r="B148"/>
    </row>
    <row r="149" spans="1:2" ht="15">
      <c r="A149"/>
      <c r="B149"/>
    </row>
    <row r="150" spans="1:2" ht="15">
      <c r="A150"/>
      <c r="B150"/>
    </row>
    <row r="151" spans="1:2" ht="15">
      <c r="A151"/>
      <c r="B151"/>
    </row>
    <row r="152" spans="1:2" ht="15">
      <c r="A152"/>
      <c r="B152"/>
    </row>
    <row r="153" spans="1:2" ht="15">
      <c r="A153"/>
      <c r="B153"/>
    </row>
    <row r="154" spans="1:2" ht="15">
      <c r="A154"/>
      <c r="B154"/>
    </row>
    <row r="155" spans="1:2" ht="15">
      <c r="A155"/>
      <c r="B155"/>
    </row>
    <row r="156" spans="1:2" ht="15">
      <c r="A156"/>
      <c r="B156"/>
    </row>
    <row r="157" spans="1:2" ht="15">
      <c r="A157"/>
      <c r="B157"/>
    </row>
    <row r="158" spans="1:2" ht="15">
      <c r="A158"/>
      <c r="B158"/>
    </row>
    <row r="159" spans="1:2" ht="15">
      <c r="A159"/>
      <c r="B159"/>
    </row>
    <row r="160" spans="1:2" ht="15">
      <c r="A160"/>
      <c r="B160"/>
    </row>
    <row r="161" spans="1:2" ht="15">
      <c r="A161"/>
      <c r="B161"/>
    </row>
    <row r="162" spans="1:2" ht="15">
      <c r="A162"/>
      <c r="B162"/>
    </row>
    <row r="163" spans="1:2" ht="15">
      <c r="A163"/>
      <c r="B163"/>
    </row>
    <row r="164" spans="1:2" ht="15">
      <c r="A164"/>
      <c r="B164"/>
    </row>
    <row r="165" spans="1:2" ht="15">
      <c r="A165"/>
      <c r="B165"/>
    </row>
    <row r="166" spans="1:2" ht="15">
      <c r="A166"/>
      <c r="B166"/>
    </row>
    <row r="167" spans="1:2" ht="15">
      <c r="A167"/>
      <c r="B167"/>
    </row>
    <row r="168" spans="1:2" ht="15">
      <c r="A168"/>
      <c r="B168"/>
    </row>
    <row r="169" spans="1:2" ht="15">
      <c r="A169"/>
      <c r="B169"/>
    </row>
    <row r="170" spans="1:2" ht="15">
      <c r="A170"/>
      <c r="B170"/>
    </row>
    <row r="171" spans="1:2" ht="15">
      <c r="A171"/>
      <c r="B171"/>
    </row>
    <row r="172" spans="1:2" ht="15">
      <c r="A172"/>
      <c r="B172"/>
    </row>
    <row r="173" spans="1:2" ht="15">
      <c r="A173"/>
      <c r="B173"/>
    </row>
    <row r="174" spans="1:2" ht="15">
      <c r="A174"/>
      <c r="B174"/>
    </row>
    <row r="175" spans="1:2" ht="15">
      <c r="A175"/>
      <c r="B175"/>
    </row>
    <row r="176" spans="1:2" ht="15">
      <c r="A176"/>
      <c r="B176"/>
    </row>
    <row r="177" spans="1:2" ht="15">
      <c r="A177"/>
      <c r="B177"/>
    </row>
    <row r="178" spans="1:2" ht="15">
      <c r="A178"/>
      <c r="B178"/>
    </row>
    <row r="179" spans="1:2" ht="15">
      <c r="A179"/>
      <c r="B179"/>
    </row>
    <row r="180" spans="1:2" ht="15">
      <c r="A180"/>
      <c r="B180"/>
    </row>
    <row r="181" spans="1:2" ht="15">
      <c r="A181"/>
      <c r="B181"/>
    </row>
    <row r="182" spans="1:2" ht="15">
      <c r="A182"/>
      <c r="B182"/>
    </row>
    <row r="183" spans="1:2" ht="15">
      <c r="A183"/>
      <c r="B183"/>
    </row>
    <row r="184" spans="1:2" ht="15">
      <c r="A184"/>
      <c r="B184"/>
    </row>
    <row r="185" spans="1:2" ht="15">
      <c r="A185"/>
      <c r="B185"/>
    </row>
    <row r="186" spans="1:2" ht="15">
      <c r="A186"/>
      <c r="B186"/>
    </row>
    <row r="187" spans="1:2" ht="15">
      <c r="A187"/>
      <c r="B187"/>
    </row>
    <row r="188" spans="1:2" ht="15">
      <c r="A188"/>
      <c r="B188"/>
    </row>
    <row r="189" spans="1:2" ht="15">
      <c r="A189"/>
      <c r="B189"/>
    </row>
    <row r="190" spans="1:2" ht="15">
      <c r="A190"/>
      <c r="B190"/>
    </row>
    <row r="191" spans="1:2" ht="15">
      <c r="A191"/>
      <c r="B191"/>
    </row>
    <row r="192" spans="1:2" ht="15">
      <c r="A192"/>
      <c r="B192"/>
    </row>
    <row r="193" spans="1:2" ht="15">
      <c r="A193"/>
      <c r="B193"/>
    </row>
    <row r="194" spans="1:2" ht="15">
      <c r="A194"/>
      <c r="B194"/>
    </row>
    <row r="195" spans="1:2" ht="15">
      <c r="A195"/>
      <c r="B195"/>
    </row>
    <row r="196" spans="1:2" ht="15">
      <c r="A196"/>
      <c r="B196"/>
    </row>
    <row r="197" spans="1:2" ht="15">
      <c r="A197"/>
      <c r="B197"/>
    </row>
    <row r="198" spans="1:2" ht="15">
      <c r="A198"/>
      <c r="B198"/>
    </row>
    <row r="199" spans="1:2" ht="15">
      <c r="A199"/>
      <c r="B199"/>
    </row>
    <row r="200" spans="1:2" ht="15">
      <c r="A200"/>
      <c r="B200"/>
    </row>
    <row r="201" spans="1:2" ht="15">
      <c r="A201"/>
      <c r="B201"/>
    </row>
    <row r="202" ht="15">
      <c r="A202"/>
    </row>
    <row r="203" ht="15">
      <c r="A203"/>
    </row>
    <row r="204" ht="15">
      <c r="A204"/>
    </row>
    <row r="205" ht="15">
      <c r="A205"/>
    </row>
    <row r="206" ht="15">
      <c r="A206"/>
    </row>
    <row r="207" ht="15">
      <c r="A207"/>
    </row>
    <row r="208" ht="15">
      <c r="A208"/>
    </row>
    <row r="209" ht="15">
      <c r="A209"/>
    </row>
    <row r="210" ht="15">
      <c r="A210"/>
    </row>
    <row r="211" ht="15">
      <c r="A211"/>
    </row>
    <row r="212" ht="15">
      <c r="A212"/>
    </row>
    <row r="213" ht="15">
      <c r="A213"/>
    </row>
    <row r="214" ht="15">
      <c r="A214"/>
    </row>
    <row r="215" ht="15">
      <c r="A215"/>
    </row>
    <row r="216" ht="15">
      <c r="A216"/>
    </row>
    <row r="217" ht="15">
      <c r="A217"/>
    </row>
    <row r="218" ht="15">
      <c r="A218"/>
    </row>
    <row r="219" ht="15">
      <c r="A219"/>
    </row>
    <row r="220" ht="15">
      <c r="A220"/>
    </row>
  </sheetData>
  <mergeCells count="1">
    <mergeCell ref="A3:C3"/>
  </mergeCells>
  <printOptions/>
  <pageMargins left="0.7" right="0.7" top="0.75" bottom="0.75" header="0.3" footer="0.3"/>
  <pageSetup fitToWidth="0" fitToHeight="1" horizontalDpi="600" verticalDpi="600"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G96"/>
  <sheetViews>
    <sheetView showZeros="0" zoomScale="60" zoomScaleNormal="60" zoomScalePageLayoutView="80" workbookViewId="0" topLeftCell="A1"/>
  </sheetViews>
  <sheetFormatPr defaultColWidth="9.140625" defaultRowHeight="15"/>
  <cols>
    <col min="1" max="1" width="3.00390625" style="0" customWidth="1"/>
    <col min="2" max="2" width="6.8515625" style="0" customWidth="1"/>
    <col min="4" max="4" width="15.140625" style="0" customWidth="1"/>
    <col min="6" max="6" width="7.8515625" style="0" customWidth="1"/>
    <col min="7" max="7" width="12.00390625" style="0" customWidth="1"/>
    <col min="8" max="8" width="8.57421875" style="0" customWidth="1"/>
    <col min="9" max="9" width="12.57421875" style="0" customWidth="1"/>
    <col min="20" max="21" width="12.57421875" style="0" customWidth="1"/>
    <col min="22" max="22" width="17.28125" style="0" customWidth="1"/>
    <col min="23" max="23" width="13.7109375" style="0" customWidth="1"/>
    <col min="24" max="24" width="12.28125" style="0" customWidth="1"/>
    <col min="25" max="25" width="14.8515625" style="0" customWidth="1"/>
    <col min="26" max="26" width="30.421875" style="0" bestFit="1" customWidth="1"/>
    <col min="27" max="27" width="12.57421875" style="0" customWidth="1"/>
    <col min="28" max="28" width="25.421875" style="0" customWidth="1"/>
    <col min="29" max="29" width="48.140625" style="0" customWidth="1"/>
    <col min="30" max="30" width="11.140625" style="0" customWidth="1"/>
    <col min="31" max="31" width="6.57421875" style="0" customWidth="1"/>
    <col min="32" max="32" width="14.7109375" style="0" customWidth="1"/>
    <col min="33" max="33" width="11.00390625" style="0" customWidth="1"/>
  </cols>
  <sheetData>
    <row r="1" spans="1:59" s="2" customFormat="1" ht="36">
      <c r="A1" s="282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181"/>
      <c r="U1" s="238"/>
      <c r="BF1" s="283"/>
      <c r="BG1" s="283"/>
    </row>
    <row r="2" spans="1:59" s="2" customFormat="1" ht="36">
      <c r="A2" s="282" t="s">
        <v>1269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34"/>
      <c r="U2" s="238"/>
      <c r="BF2" s="283"/>
      <c r="BG2" s="283"/>
    </row>
    <row r="3" spans="1:59" s="39" customFormat="1" ht="18" customHeight="1">
      <c r="A3" s="328" t="str">
        <f>Report_Date</f>
        <v>Juin 2013</v>
      </c>
      <c r="B3" s="328"/>
      <c r="C3" s="328"/>
      <c r="D3" s="182"/>
      <c r="E3" s="182"/>
      <c r="F3" s="182"/>
      <c r="G3" s="182"/>
      <c r="H3" s="182"/>
      <c r="I3" s="182"/>
      <c r="J3" s="182"/>
      <c r="L3" s="182"/>
      <c r="M3" s="182"/>
      <c r="N3" s="182"/>
      <c r="O3" s="182"/>
      <c r="P3" s="182"/>
      <c r="Q3" s="182"/>
      <c r="R3" s="182"/>
      <c r="S3" s="284"/>
      <c r="T3" s="182"/>
      <c r="U3" s="182"/>
      <c r="BF3" s="284"/>
      <c r="BG3" s="284"/>
    </row>
    <row r="5" spans="22:40" ht="15">
      <c r="V5" s="39"/>
      <c r="W5" s="39"/>
      <c r="X5" s="39"/>
      <c r="Y5" s="40"/>
      <c r="Z5" s="39"/>
      <c r="AA5" s="39"/>
      <c r="AB5" s="39"/>
      <c r="AC5" s="41" t="s">
        <v>838</v>
      </c>
      <c r="AD5" s="11"/>
      <c r="AE5" s="11"/>
      <c r="AN5">
        <f>COUNTA(AL:AL)-1</f>
        <v>-1</v>
      </c>
    </row>
    <row r="6" spans="22:31" ht="15">
      <c r="V6" s="345" t="s">
        <v>1</v>
      </c>
      <c r="W6" s="345" t="s">
        <v>822</v>
      </c>
      <c r="X6" s="345" t="s">
        <v>823</v>
      </c>
      <c r="Y6" s="345" t="s">
        <v>840</v>
      </c>
      <c r="Z6" s="42"/>
      <c r="AA6" s="42"/>
      <c r="AB6" s="39"/>
      <c r="AC6" s="43" t="s">
        <v>839</v>
      </c>
      <c r="AD6" s="44"/>
      <c r="AE6" s="44"/>
    </row>
    <row r="7" spans="22:31" ht="15">
      <c r="V7" s="346"/>
      <c r="W7" s="346"/>
      <c r="X7" s="346"/>
      <c r="Y7" s="346"/>
      <c r="Z7" s="46"/>
      <c r="AA7" s="46"/>
      <c r="AB7" s="39"/>
      <c r="AC7" s="47"/>
      <c r="AD7" s="48"/>
      <c r="AE7" s="48"/>
    </row>
    <row r="8" spans="22:34" ht="23.25">
      <c r="V8" s="45" t="s">
        <v>452</v>
      </c>
      <c r="W8" s="84">
        <f>SUMIFS(Camplist_HH,Camplist_Township,Rakhine_Shelter_D!$V8,CampList_Status,"Open")</f>
        <v>872</v>
      </c>
      <c r="X8" s="49">
        <f>SUMIFS(Camplist_Popl,Camplist_Township,Rakhine_Shelter_D!$V8,CampList_Status,"Open")</f>
        <v>5152</v>
      </c>
      <c r="Y8" s="102">
        <f>COUNTIFS(Camplist_Township,Rakhine_Shelter_D!V8,CampList_Status,"open")</f>
        <v>8</v>
      </c>
      <c r="Z8" s="39"/>
      <c r="AA8" s="39"/>
      <c r="AH8" s="51"/>
    </row>
    <row r="9" spans="22:40" ht="15">
      <c r="V9" s="45" t="s">
        <v>453</v>
      </c>
      <c r="W9" s="84">
        <f>SUMIFS(Camplist_HH,Camplist_Township,Rakhine_Shelter_D!$V9,CampList_Status,"Open")</f>
        <v>643</v>
      </c>
      <c r="X9" s="49">
        <f>SUMIFS(Camplist_Popl,Camplist_Township,Rakhine_Shelter_D!$V9,CampList_Status,"Open")</f>
        <v>4135</v>
      </c>
      <c r="Y9" s="102">
        <f>COUNTIFS(Camplist_Township,Rakhine_Shelter_D!V9,CampList_Status,"open")</f>
        <v>4</v>
      </c>
      <c r="Z9" s="40"/>
      <c r="AA9" s="40"/>
      <c r="AB9" s="39"/>
      <c r="AI9" s="334"/>
      <c r="AJ9" s="334"/>
      <c r="AL9" s="38"/>
      <c r="AM9" s="52"/>
      <c r="AN9" s="52"/>
    </row>
    <row r="10" spans="22:40" ht="15">
      <c r="V10" s="45" t="s">
        <v>454</v>
      </c>
      <c r="W10" s="84">
        <f>SUMIFS(Camplist_HH,Camplist_Township,Rakhine_Shelter_D!$V10,CampList_Status,"Open")</f>
        <v>749</v>
      </c>
      <c r="X10" s="49">
        <f>SUMIFS(Camplist_Popl,Camplist_Township,Rakhine_Shelter_D!$V10,CampList_Status,"Open")</f>
        <v>4169</v>
      </c>
      <c r="Y10" s="102">
        <f>COUNTIFS(Camplist_Township,Rakhine_Shelter_D!V10,CampList_Status,"open")</f>
        <v>2</v>
      </c>
      <c r="Z10" s="53"/>
      <c r="AA10" s="53"/>
      <c r="AB10" s="39"/>
      <c r="AH10" s="54"/>
      <c r="AI10" s="333"/>
      <c r="AJ10" s="333"/>
      <c r="AL10" s="55"/>
      <c r="AM10" s="56"/>
      <c r="AN10" s="57"/>
    </row>
    <row r="11" spans="1:40" ht="15.75">
      <c r="A11" s="58"/>
      <c r="B11" s="58"/>
      <c r="C11" s="335"/>
      <c r="D11" s="335"/>
      <c r="E11" s="335"/>
      <c r="F11" s="335"/>
      <c r="G11" s="332"/>
      <c r="H11" s="58"/>
      <c r="I11" s="58"/>
      <c r="J11" s="39"/>
      <c r="K11" s="39"/>
      <c r="V11" s="45" t="s">
        <v>455</v>
      </c>
      <c r="W11" s="84">
        <f>SUMIFS(Camplist_HH,Camplist_Township,Rakhine_Shelter_D!$V11,CampList_Status,"Open")</f>
        <v>3736</v>
      </c>
      <c r="X11" s="49">
        <f>SUMIFS(Camplist_Popl,Camplist_Township,Rakhine_Shelter_D!$V11,CampList_Status,"Open")</f>
        <v>19976</v>
      </c>
      <c r="Y11" s="102">
        <f>COUNTIFS(Camplist_Township,Rakhine_Shelter_D!V11,CampList_Status,"open")</f>
        <v>6</v>
      </c>
      <c r="Z11" s="39"/>
      <c r="AA11" s="39"/>
      <c r="AB11" s="39"/>
      <c r="AC11" s="39"/>
      <c r="AH11" s="54"/>
      <c r="AI11" s="333"/>
      <c r="AJ11" s="333"/>
      <c r="AL11" s="55"/>
      <c r="AM11" s="56"/>
      <c r="AN11" s="57"/>
    </row>
    <row r="12" spans="1:40" ht="15.75">
      <c r="A12" s="59"/>
      <c r="B12" s="59"/>
      <c r="C12" s="331"/>
      <c r="D12" s="332"/>
      <c r="E12" s="332"/>
      <c r="F12" s="349"/>
      <c r="G12" s="349"/>
      <c r="H12" s="60"/>
      <c r="I12" s="60"/>
      <c r="J12" s="39"/>
      <c r="K12" s="39"/>
      <c r="V12" s="45" t="s">
        <v>456</v>
      </c>
      <c r="W12" s="84">
        <f>SUMIFS(Camplist_HH,Camplist_Township,Rakhine_Shelter_D!$V12,CampList_Status,"Open")</f>
        <v>998</v>
      </c>
      <c r="X12" s="49">
        <f>SUMIFS(Camplist_Popl,Camplist_Township,Rakhine_Shelter_D!$V12,CampList_Status,"Open")</f>
        <v>6418</v>
      </c>
      <c r="Y12" s="102">
        <f>COUNTIFS(Camplist_Township,Rakhine_Shelter_D!V12,CampList_Status,"open")</f>
        <v>11</v>
      </c>
      <c r="Z12" s="61"/>
      <c r="AA12" s="61"/>
      <c r="AB12" s="39"/>
      <c r="AC12" s="39"/>
      <c r="AH12" s="54"/>
      <c r="AI12" s="333"/>
      <c r="AJ12" s="333"/>
      <c r="AL12" s="55"/>
      <c r="AM12" s="56"/>
      <c r="AN12" s="57"/>
    </row>
    <row r="13" spans="1:40" ht="15.75">
      <c r="A13" s="59"/>
      <c r="B13" s="59"/>
      <c r="C13" s="331"/>
      <c r="D13" s="332"/>
      <c r="E13" s="332"/>
      <c r="F13" s="349"/>
      <c r="G13" s="332"/>
      <c r="H13" s="60"/>
      <c r="I13" s="60"/>
      <c r="J13" s="39"/>
      <c r="K13" s="39"/>
      <c r="V13" s="45" t="s">
        <v>457</v>
      </c>
      <c r="W13" s="84">
        <f>SUMIFS(Camplist_HH,Camplist_Township,Rakhine_Shelter_D!$V13,CampList_Status,"Open")</f>
        <v>769</v>
      </c>
      <c r="X13" s="49">
        <f>SUMIFS(Camplist_Popl,Camplist_Township,Rakhine_Shelter_D!$V13,CampList_Status,"Open")</f>
        <v>4008</v>
      </c>
      <c r="Y13" s="102">
        <f>COUNTIFS(Camplist_Township,Rakhine_Shelter_D!V13,CampList_Status,"open")</f>
        <v>4</v>
      </c>
      <c r="Z13" s="42"/>
      <c r="AA13" s="42"/>
      <c r="AB13" s="39"/>
      <c r="AC13" s="39"/>
      <c r="AD13" s="44"/>
      <c r="AE13" s="44"/>
      <c r="AF13" s="44"/>
      <c r="AG13" s="44"/>
      <c r="AH13" s="54"/>
      <c r="AI13" s="333"/>
      <c r="AJ13" s="333"/>
      <c r="AL13" s="55"/>
      <c r="AM13" s="56"/>
      <c r="AN13" s="57"/>
    </row>
    <row r="14" spans="1:40" ht="15.75">
      <c r="A14" s="59"/>
      <c r="B14" s="59"/>
      <c r="C14" s="331"/>
      <c r="D14" s="332"/>
      <c r="E14" s="332"/>
      <c r="F14" s="349"/>
      <c r="G14" s="332"/>
      <c r="H14" s="60"/>
      <c r="I14" s="60"/>
      <c r="J14" s="39"/>
      <c r="K14" s="39"/>
      <c r="V14" s="45" t="s">
        <v>458</v>
      </c>
      <c r="W14" s="84">
        <f>SUMIFS(Camplist_HH,Camplist_Township,Rakhine_Shelter_D!$V14,CampList_Status,"Open")</f>
        <v>491</v>
      </c>
      <c r="X14" s="49">
        <f>SUMIFS(Camplist_Popl,Camplist_Township,Rakhine_Shelter_D!$V14,CampList_Status,"Open")</f>
        <v>1849</v>
      </c>
      <c r="Y14" s="102">
        <f>COUNTIFS(Camplist_Township,Rakhine_Shelter_D!V14,CampList_Status,"open")</f>
        <v>2</v>
      </c>
      <c r="Z14" s="42"/>
      <c r="AA14" s="42"/>
      <c r="AB14" s="39"/>
      <c r="AC14" s="39"/>
      <c r="AD14" s="44"/>
      <c r="AE14" s="44"/>
      <c r="AF14" s="44"/>
      <c r="AG14" s="44"/>
      <c r="AH14" s="54"/>
      <c r="AI14" s="333"/>
      <c r="AJ14" s="333"/>
      <c r="AL14" s="55"/>
      <c r="AM14" s="56"/>
      <c r="AN14" s="57"/>
    </row>
    <row r="15" spans="1:40" ht="15.75">
      <c r="A15" s="59"/>
      <c r="B15" s="59"/>
      <c r="C15" s="331"/>
      <c r="D15" s="332"/>
      <c r="E15" s="332"/>
      <c r="F15" s="349"/>
      <c r="G15" s="332"/>
      <c r="H15" s="60"/>
      <c r="I15" s="60"/>
      <c r="J15" s="39"/>
      <c r="K15" s="39"/>
      <c r="V15" s="45" t="s">
        <v>459</v>
      </c>
      <c r="W15" s="84">
        <f>SUMIFS(Camplist_HH,Camplist_Township,Rakhine_Shelter_D!$V15,CampList_Status,"Open")</f>
        <v>43</v>
      </c>
      <c r="X15" s="49">
        <f>SUMIFS(Camplist_Popl,Camplist_Township,Rakhine_Shelter_D!$V15,CampList_Status,"Open")</f>
        <v>260</v>
      </c>
      <c r="Y15" s="102">
        <f>COUNTIFS(Camplist_Township,Rakhine_Shelter_D!V15,CampList_Status,"open")</f>
        <v>2</v>
      </c>
      <c r="Z15" s="42"/>
      <c r="AA15" s="42"/>
      <c r="AB15" s="39"/>
      <c r="AC15" s="39"/>
      <c r="AD15" s="44"/>
      <c r="AE15" s="44"/>
      <c r="AF15" s="44"/>
      <c r="AG15" s="44"/>
      <c r="AH15" s="54"/>
      <c r="AI15" s="333"/>
      <c r="AJ15" s="333"/>
      <c r="AK15" s="62"/>
      <c r="AL15" s="63"/>
      <c r="AM15" s="64"/>
      <c r="AN15" s="65"/>
    </row>
    <row r="16" spans="1:33" ht="15.75">
      <c r="A16" s="59"/>
      <c r="B16" s="59"/>
      <c r="C16" s="331"/>
      <c r="D16" s="332"/>
      <c r="E16" s="332"/>
      <c r="F16" s="349"/>
      <c r="G16" s="332"/>
      <c r="H16" s="60"/>
      <c r="I16" s="60"/>
      <c r="J16" s="39"/>
      <c r="K16" s="39"/>
      <c r="V16" s="45" t="s">
        <v>460</v>
      </c>
      <c r="W16" s="84">
        <f>SUMIFS(Camplist_HH,Camplist_Township,Rakhine_Shelter_D!$V16,CampList_Status,"Open")</f>
        <v>15252</v>
      </c>
      <c r="X16" s="49">
        <f>SUMIFS(Camplist_Popl,Camplist_Township,Rakhine_Shelter_D!$V16,CampList_Status,"Open")</f>
        <v>89880</v>
      </c>
      <c r="Y16" s="102">
        <f>COUNTIFS(Camplist_Township,Rakhine_Shelter_D!V16,CampList_Status,"open")</f>
        <v>23</v>
      </c>
      <c r="Z16" s="42"/>
      <c r="AA16" s="42"/>
      <c r="AB16" s="39"/>
      <c r="AC16" s="39"/>
      <c r="AD16" s="44"/>
      <c r="AE16" s="44"/>
      <c r="AF16" s="44"/>
      <c r="AG16" s="44"/>
    </row>
    <row r="17" spans="1:29" ht="15.75">
      <c r="A17" s="59"/>
      <c r="B17" s="59"/>
      <c r="C17" s="331"/>
      <c r="D17" s="332"/>
      <c r="E17" s="332"/>
      <c r="F17" s="349"/>
      <c r="G17" s="332"/>
      <c r="H17" s="60"/>
      <c r="I17" s="60"/>
      <c r="J17" s="39"/>
      <c r="K17" s="39"/>
      <c r="V17" s="45" t="s">
        <v>461</v>
      </c>
      <c r="W17" s="84">
        <f>SUMIFS(Camplist_HH,Camplist_Township,Rakhine_Shelter_D!$V17,CampList_Status,"Open")</f>
        <v>566</v>
      </c>
      <c r="X17" s="49">
        <f>SUMIFS(Camplist_Popl,Camplist_Township,Rakhine_Shelter_D!$V17,CampList_Status,"Open")</f>
        <v>3569</v>
      </c>
      <c r="Y17" s="102">
        <f>COUNTIFS(Camplist_Township,Rakhine_Shelter_D!V17,CampList_Status,"open")</f>
        <v>14</v>
      </c>
      <c r="Z17" s="42"/>
      <c r="AA17" s="42"/>
      <c r="AB17" s="39"/>
      <c r="AC17" s="39"/>
    </row>
    <row r="18" spans="1:29" ht="15.75">
      <c r="A18" s="59"/>
      <c r="B18" s="59"/>
      <c r="C18" s="331"/>
      <c r="D18" s="332"/>
      <c r="E18" s="332"/>
      <c r="F18" s="349"/>
      <c r="G18" s="332"/>
      <c r="H18" s="60"/>
      <c r="I18" s="60"/>
      <c r="J18" s="39"/>
      <c r="K18" s="39"/>
      <c r="V18" s="250" t="s">
        <v>5</v>
      </c>
      <c r="W18" s="253">
        <f>SUM(W8:W17)</f>
        <v>24119</v>
      </c>
      <c r="X18" s="253">
        <f>SUM(X8:X17)</f>
        <v>139416</v>
      </c>
      <c r="Y18" s="253">
        <f>SUM(Y8:Y17)</f>
        <v>76</v>
      </c>
      <c r="Z18" s="42"/>
      <c r="AA18" s="42"/>
      <c r="AB18" s="39"/>
      <c r="AC18" s="39"/>
    </row>
    <row r="19" spans="1:29" ht="15.75">
      <c r="A19" s="59"/>
      <c r="B19" s="59"/>
      <c r="C19" s="331"/>
      <c r="D19" s="332"/>
      <c r="E19" s="332"/>
      <c r="F19" s="349"/>
      <c r="G19" s="332"/>
      <c r="H19" s="60"/>
      <c r="I19" s="60"/>
      <c r="J19" s="39"/>
      <c r="K19" s="39"/>
      <c r="V19" s="39"/>
      <c r="W19" s="39"/>
      <c r="X19" s="40"/>
      <c r="Y19" s="42"/>
      <c r="Z19" s="42"/>
      <c r="AA19" s="42"/>
      <c r="AB19" s="39"/>
      <c r="AC19" s="39"/>
    </row>
    <row r="20" spans="1:39" ht="15.75">
      <c r="A20" s="59"/>
      <c r="B20" s="59"/>
      <c r="C20" s="331"/>
      <c r="D20" s="332"/>
      <c r="E20" s="332"/>
      <c r="F20" s="349"/>
      <c r="G20" s="332"/>
      <c r="H20" s="60"/>
      <c r="I20" s="60"/>
      <c r="J20" s="39"/>
      <c r="K20" s="39"/>
      <c r="V20" s="45" t="s">
        <v>1</v>
      </c>
      <c r="W20" s="91" t="s">
        <v>841</v>
      </c>
      <c r="X20" s="91" t="s">
        <v>977</v>
      </c>
      <c r="Y20" s="130"/>
      <c r="AB20" s="39"/>
      <c r="AC20" s="39"/>
      <c r="AL20" s="11"/>
      <c r="AM20" s="11"/>
    </row>
    <row r="21" spans="1:39" ht="15.75">
      <c r="A21" s="347"/>
      <c r="B21" s="348"/>
      <c r="C21" s="348"/>
      <c r="D21" s="348"/>
      <c r="E21" s="348"/>
      <c r="F21" s="348"/>
      <c r="G21" s="348"/>
      <c r="H21" s="67"/>
      <c r="I21" s="67"/>
      <c r="J21" s="39"/>
      <c r="K21" s="39"/>
      <c r="V21" s="45" t="s">
        <v>452</v>
      </c>
      <c r="W21" s="249">
        <f>Shelter_Progress!L7</f>
        <v>3450.422018348624</v>
      </c>
      <c r="X21" s="248">
        <f>Shelter_Progress!O7</f>
        <v>1701.577981651376</v>
      </c>
      <c r="Y21" s="68"/>
      <c r="Z21" s="8"/>
      <c r="AA21" s="8"/>
      <c r="AB21" s="39"/>
      <c r="AC21" s="39"/>
      <c r="AL21" s="11"/>
      <c r="AM21" s="11"/>
    </row>
    <row r="22" spans="1:39" ht="1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V22" s="45" t="s">
        <v>453</v>
      </c>
      <c r="W22" s="249">
        <f>Shelter_Progress!L8</f>
        <v>2006.407465007776</v>
      </c>
      <c r="X22" s="248">
        <f>Shelter_Progress!O8</f>
        <v>2128.592534992224</v>
      </c>
      <c r="Y22" s="68"/>
      <c r="Z22" s="8"/>
      <c r="AA22" s="8"/>
      <c r="AB22" s="39"/>
      <c r="AC22" s="39"/>
      <c r="AL22" s="11"/>
      <c r="AM22" s="11"/>
    </row>
    <row r="23" spans="1:39" ht="1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V23" s="45" t="s">
        <v>454</v>
      </c>
      <c r="W23" s="249">
        <f>Shelter_Progress!L9</f>
        <v>3963.0547396528705</v>
      </c>
      <c r="X23" s="248">
        <f>Shelter_Progress!O9</f>
        <v>205.94526034712953</v>
      </c>
      <c r="Y23" s="68"/>
      <c r="Z23" s="8"/>
      <c r="AA23" s="8"/>
      <c r="AB23" s="39"/>
      <c r="AC23" s="39"/>
      <c r="AD23" s="44"/>
      <c r="AE23" s="44"/>
      <c r="AF23" s="44"/>
      <c r="AG23" s="44"/>
      <c r="AL23" s="11"/>
      <c r="AM23" s="11"/>
    </row>
    <row r="24" spans="1:39" ht="1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V24" s="45" t="s">
        <v>455</v>
      </c>
      <c r="W24" s="249">
        <f>Shelter_Progress!L10</f>
        <v>13549.032119914347</v>
      </c>
      <c r="X24" s="248">
        <f>Shelter_Progress!O10</f>
        <v>6426.967880085653</v>
      </c>
      <c r="Y24" s="68"/>
      <c r="Z24" s="8"/>
      <c r="AA24" s="8"/>
      <c r="AB24" s="61"/>
      <c r="AC24" s="69" t="s">
        <v>843</v>
      </c>
      <c r="AD24" s="43"/>
      <c r="AE24" s="44"/>
      <c r="AF24" s="44"/>
      <c r="AG24" s="44"/>
      <c r="AL24" s="11"/>
      <c r="AM24" s="11"/>
    </row>
    <row r="25" spans="1:39" ht="1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V25" s="45" t="s">
        <v>456</v>
      </c>
      <c r="W25" s="249">
        <f>Shelter_Progress!L11</f>
        <v>5710.605210420842</v>
      </c>
      <c r="X25" s="248">
        <f>Shelter_Progress!O11</f>
        <v>707.394789579158</v>
      </c>
      <c r="Y25" s="68"/>
      <c r="Z25" s="8"/>
      <c r="AA25" s="8"/>
      <c r="AB25" s="71"/>
      <c r="AC25" s="72" t="s">
        <v>844</v>
      </c>
      <c r="AD25" s="43"/>
      <c r="AE25" s="44"/>
      <c r="AF25" s="44"/>
      <c r="AG25" s="44"/>
      <c r="AL25" s="11"/>
      <c r="AM25" s="11"/>
    </row>
    <row r="26" spans="22:39" ht="15">
      <c r="V26" s="45" t="s">
        <v>457</v>
      </c>
      <c r="W26" s="249">
        <f>Shelter_Progress!L12</f>
        <v>2668.5253576072823</v>
      </c>
      <c r="X26" s="248">
        <f>Shelter_Progress!O12</f>
        <v>1339.4746423927177</v>
      </c>
      <c r="Y26" s="68"/>
      <c r="Z26" s="8"/>
      <c r="AA26" s="8"/>
      <c r="AB26" s="71"/>
      <c r="AC26" s="72"/>
      <c r="AL26" s="11"/>
      <c r="AM26" s="11"/>
    </row>
    <row r="27" spans="1:39" ht="15">
      <c r="A27" s="73"/>
      <c r="B27" s="73"/>
      <c r="C27" s="330"/>
      <c r="D27" s="330"/>
      <c r="E27" s="330"/>
      <c r="F27" s="330"/>
      <c r="G27" s="73"/>
      <c r="H27" s="73"/>
      <c r="I27" s="73"/>
      <c r="V27" s="45" t="s">
        <v>458</v>
      </c>
      <c r="W27" s="249">
        <f>Shelter_Progress!L13</f>
        <v>1807.5763747454175</v>
      </c>
      <c r="X27" s="248">
        <f>Shelter_Progress!O13</f>
        <v>41.423625254582475</v>
      </c>
      <c r="Y27" s="68"/>
      <c r="Z27" s="8"/>
      <c r="AA27" s="8"/>
      <c r="AB27" s="71"/>
      <c r="AC27" s="72" t="s">
        <v>845</v>
      </c>
      <c r="AL27" s="11"/>
      <c r="AM27" s="11"/>
    </row>
    <row r="28" spans="1:33" ht="15">
      <c r="A28" s="73"/>
      <c r="B28" s="73"/>
      <c r="C28" s="330"/>
      <c r="D28" s="330"/>
      <c r="E28" s="330"/>
      <c r="F28" s="330"/>
      <c r="G28" s="73"/>
      <c r="H28" s="73"/>
      <c r="I28" s="73"/>
      <c r="V28" s="45" t="s">
        <v>459</v>
      </c>
      <c r="W28" s="249">
        <f>Shelter_Progress!L14</f>
        <v>580.4651162790698</v>
      </c>
      <c r="X28" s="248">
        <f>Shelter_Progress!O14</f>
        <v>0</v>
      </c>
      <c r="Y28" s="68"/>
      <c r="Z28" s="8"/>
      <c r="AA28" s="8"/>
      <c r="AB28" s="71"/>
      <c r="AC28" s="72"/>
      <c r="AF28" s="74"/>
      <c r="AG28" s="74"/>
    </row>
    <row r="29" spans="1:32" ht="15">
      <c r="A29" s="73"/>
      <c r="B29" s="73"/>
      <c r="C29" s="330"/>
      <c r="D29" s="330"/>
      <c r="E29" s="330"/>
      <c r="F29" s="330"/>
      <c r="G29" s="73"/>
      <c r="H29" s="73"/>
      <c r="I29" s="73"/>
      <c r="V29" s="45" t="s">
        <v>460</v>
      </c>
      <c r="W29" s="249">
        <f>Shelter_Progress!L15</f>
        <v>76420.39339103068</v>
      </c>
      <c r="X29" s="248">
        <f>Shelter_Progress!O15</f>
        <v>13459.60660896932</v>
      </c>
      <c r="Y29" s="68"/>
      <c r="Z29" s="8"/>
      <c r="AA29" s="8"/>
      <c r="AB29" s="71"/>
      <c r="AC29" s="72"/>
      <c r="AF29" s="75" t="s">
        <v>846</v>
      </c>
    </row>
    <row r="30" spans="1:35" ht="15">
      <c r="A30" s="73"/>
      <c r="B30" s="73"/>
      <c r="C30" s="330"/>
      <c r="D30" s="330"/>
      <c r="E30" s="330"/>
      <c r="F30" s="330"/>
      <c r="G30" s="73"/>
      <c r="H30" s="73"/>
      <c r="I30" s="73"/>
      <c r="V30" s="45" t="s">
        <v>461</v>
      </c>
      <c r="W30" s="249">
        <f>Shelter_Progress!L16</f>
        <v>3127.6042402826856</v>
      </c>
      <c r="X30" s="248">
        <f>Shelter_Progress!O16</f>
        <v>441.3957597173144</v>
      </c>
      <c r="Y30" s="68"/>
      <c r="Z30" s="8"/>
      <c r="AA30" s="8"/>
      <c r="AB30" s="71"/>
      <c r="AC30" s="72"/>
      <c r="AF30" s="76" t="s">
        <v>847</v>
      </c>
      <c r="AG30" s="76"/>
      <c r="AH30" s="76"/>
      <c r="AI30" s="77">
        <f>MAX(AK10:AL15)</f>
        <v>0</v>
      </c>
    </row>
    <row r="31" spans="22:35" ht="15">
      <c r="V31" s="250" t="s">
        <v>5</v>
      </c>
      <c r="W31" s="251">
        <f>SUM(W21:W30)</f>
        <v>113284.0860332896</v>
      </c>
      <c r="X31" s="252">
        <f>SUM(X21:X30)</f>
        <v>26452.37908298947</v>
      </c>
      <c r="Y31" s="68"/>
      <c r="Z31" s="8"/>
      <c r="AA31" s="8"/>
      <c r="AB31" s="71"/>
      <c r="AC31" s="72" t="s">
        <v>848</v>
      </c>
      <c r="AF31" s="76" t="s">
        <v>849</v>
      </c>
      <c r="AI31" s="38">
        <v>0.9</v>
      </c>
    </row>
    <row r="32" spans="25:35" ht="15">
      <c r="Y32" s="70"/>
      <c r="Z32" s="70"/>
      <c r="AA32" s="70"/>
      <c r="AB32" s="71"/>
      <c r="AC32" s="72" t="s">
        <v>850</v>
      </c>
      <c r="AF32" s="76" t="s">
        <v>851</v>
      </c>
      <c r="AI32" s="38">
        <v>8</v>
      </c>
    </row>
    <row r="33" spans="23:35" ht="15">
      <c r="W33" t="s">
        <v>852</v>
      </c>
      <c r="Y33" s="70"/>
      <c r="Z33" s="70"/>
      <c r="AA33" s="70"/>
      <c r="AB33" s="71"/>
      <c r="AC33" s="72" t="s">
        <v>853</v>
      </c>
      <c r="AF33" s="76"/>
      <c r="AI33" s="38"/>
    </row>
    <row r="34" spans="22:32" ht="15">
      <c r="V34" s="68" t="s">
        <v>841</v>
      </c>
      <c r="W34" s="78">
        <f>W31</f>
        <v>113284.0860332896</v>
      </c>
      <c r="Y34" s="70"/>
      <c r="Z34" s="70"/>
      <c r="AA34" s="70"/>
      <c r="AB34" s="71"/>
      <c r="AC34" s="72" t="s">
        <v>853</v>
      </c>
      <c r="AF34" s="76" t="s">
        <v>854</v>
      </c>
    </row>
    <row r="35" spans="22:29" ht="15">
      <c r="V35" s="68" t="s">
        <v>842</v>
      </c>
      <c r="W35" s="78">
        <f>X31</f>
        <v>26452.37908298947</v>
      </c>
      <c r="Y35" s="70"/>
      <c r="Z35" s="70"/>
      <c r="AA35" s="70"/>
      <c r="AB35" s="71"/>
      <c r="AC35" s="72" t="s">
        <v>855</v>
      </c>
    </row>
    <row r="36" spans="25:29" ht="15">
      <c r="Y36" s="70"/>
      <c r="Z36" s="70"/>
      <c r="AA36" s="70"/>
      <c r="AB36" s="71"/>
      <c r="AC36" s="72" t="s">
        <v>856</v>
      </c>
    </row>
    <row r="37" spans="25:29" ht="15">
      <c r="Y37" s="70"/>
      <c r="Z37" s="70"/>
      <c r="AA37" s="70"/>
      <c r="AB37" s="71"/>
      <c r="AC37" s="72" t="s">
        <v>857</v>
      </c>
    </row>
    <row r="38" spans="22:29" ht="15">
      <c r="V38" s="39"/>
      <c r="W38" s="70"/>
      <c r="X38" s="70"/>
      <c r="Y38" s="70"/>
      <c r="Z38" s="70"/>
      <c r="AA38" s="70"/>
      <c r="AB38" s="71"/>
      <c r="AC38" s="72" t="s">
        <v>858</v>
      </c>
    </row>
    <row r="39" spans="22:29" ht="15">
      <c r="V39" s="39"/>
      <c r="W39" s="70"/>
      <c r="X39" s="70"/>
      <c r="Y39" s="70"/>
      <c r="Z39" s="70"/>
      <c r="AA39" s="70"/>
      <c r="AB39" s="71"/>
      <c r="AC39" s="72" t="s">
        <v>858</v>
      </c>
    </row>
    <row r="40" spans="22:29" ht="15">
      <c r="V40" s="39"/>
      <c r="W40" s="39"/>
      <c r="X40" s="39"/>
      <c r="Y40" s="39"/>
      <c r="Z40" s="39"/>
      <c r="AA40" s="39"/>
      <c r="AB40" s="39"/>
      <c r="AC40" s="39"/>
    </row>
    <row r="41" spans="22:29" ht="15">
      <c r="V41" s="39"/>
      <c r="W41" s="70"/>
      <c r="X41" s="79"/>
      <c r="Y41" s="39"/>
      <c r="Z41" s="39"/>
      <c r="AA41" s="39"/>
      <c r="AB41" s="39"/>
      <c r="AC41" s="39"/>
    </row>
    <row r="42" spans="22:29" ht="15">
      <c r="V42" s="39"/>
      <c r="W42" s="70"/>
      <c r="X42" s="79"/>
      <c r="Y42" s="39"/>
      <c r="Z42" s="39"/>
      <c r="AA42" s="39"/>
      <c r="AB42" s="39"/>
      <c r="AC42" s="39"/>
    </row>
    <row r="43" spans="22:29" ht="15">
      <c r="V43" s="39"/>
      <c r="W43" s="80"/>
      <c r="X43" s="40"/>
      <c r="Y43" s="40"/>
      <c r="Z43" s="39"/>
      <c r="AA43" s="39"/>
      <c r="AB43" s="39"/>
      <c r="AC43" s="39"/>
    </row>
    <row r="44" spans="22:29" ht="15">
      <c r="V44" s="39"/>
      <c r="W44" s="70"/>
      <c r="X44" s="39"/>
      <c r="Y44" s="79"/>
      <c r="Z44" s="81"/>
      <c r="AA44" s="39"/>
      <c r="AB44" s="39"/>
      <c r="AC44" s="39"/>
    </row>
    <row r="45" spans="22:29" ht="15">
      <c r="V45" s="39"/>
      <c r="W45" s="70"/>
      <c r="X45" s="39"/>
      <c r="Y45" s="79"/>
      <c r="Z45" s="81"/>
      <c r="AA45" s="39"/>
      <c r="AB45" s="39"/>
      <c r="AC45" s="39"/>
    </row>
    <row r="46" spans="22:29" ht="15">
      <c r="V46" s="39"/>
      <c r="W46" s="70"/>
      <c r="X46" s="39"/>
      <c r="Y46" s="79"/>
      <c r="Z46" s="39"/>
      <c r="AA46" s="39"/>
      <c r="AB46" s="39"/>
      <c r="AC46" s="39"/>
    </row>
    <row r="47" spans="22:29" ht="15">
      <c r="V47" s="39"/>
      <c r="W47" s="39"/>
      <c r="X47" s="39"/>
      <c r="Y47" s="39"/>
      <c r="Z47" s="39"/>
      <c r="AA47" s="39"/>
      <c r="AB47" s="39"/>
      <c r="AC47" s="39"/>
    </row>
    <row r="48" spans="23:29" ht="15">
      <c r="W48" s="39"/>
      <c r="X48" s="39"/>
      <c r="Y48" s="39"/>
      <c r="Z48" s="39"/>
      <c r="AA48" s="39"/>
      <c r="AB48" s="39"/>
      <c r="AC48" s="39"/>
    </row>
    <row r="49" spans="23:29" ht="15">
      <c r="W49" s="39"/>
      <c r="X49" s="39"/>
      <c r="Y49" s="39"/>
      <c r="Z49" s="39"/>
      <c r="AA49" s="39"/>
      <c r="AB49" s="39"/>
      <c r="AC49" s="39"/>
    </row>
    <row r="50" spans="23:29" ht="15">
      <c r="W50" s="39"/>
      <c r="X50" s="39"/>
      <c r="Y50" s="39"/>
      <c r="Z50" s="39"/>
      <c r="AA50" s="39"/>
      <c r="AB50" s="39"/>
      <c r="AC50" s="39"/>
    </row>
    <row r="77" ht="19.5">
      <c r="W77" s="82"/>
    </row>
    <row r="78" ht="15.75">
      <c r="W78" s="83"/>
    </row>
    <row r="79" ht="15.75">
      <c r="W79" s="83"/>
    </row>
    <row r="94" spans="32:34" ht="15">
      <c r="AF94" s="38"/>
      <c r="AG94" s="38"/>
      <c r="AH94" s="38"/>
    </row>
    <row r="95" spans="32:33" ht="15">
      <c r="AF95" s="38"/>
      <c r="AG95" s="38"/>
    </row>
    <row r="96" spans="32:33" ht="15">
      <c r="AF96" s="38"/>
      <c r="AG96" s="38"/>
    </row>
  </sheetData>
  <mergeCells count="41">
    <mergeCell ref="C12:E12"/>
    <mergeCell ref="F12:G12"/>
    <mergeCell ref="AI12:AJ12"/>
    <mergeCell ref="AI9:AJ9"/>
    <mergeCell ref="AI10:AJ10"/>
    <mergeCell ref="C11:E11"/>
    <mergeCell ref="F11:G11"/>
    <mergeCell ref="AI11:AJ11"/>
    <mergeCell ref="C17:E17"/>
    <mergeCell ref="F17:G17"/>
    <mergeCell ref="C13:E13"/>
    <mergeCell ref="F13:G13"/>
    <mergeCell ref="AI13:AJ13"/>
    <mergeCell ref="C14:E14"/>
    <mergeCell ref="F14:G14"/>
    <mergeCell ref="AI14:AJ14"/>
    <mergeCell ref="C15:E15"/>
    <mergeCell ref="F15:G15"/>
    <mergeCell ref="AI15:AJ15"/>
    <mergeCell ref="C16:E16"/>
    <mergeCell ref="F16:G16"/>
    <mergeCell ref="C18:E18"/>
    <mergeCell ref="F18:G18"/>
    <mergeCell ref="C19:E19"/>
    <mergeCell ref="F19:G19"/>
    <mergeCell ref="C20:E20"/>
    <mergeCell ref="F20:G20"/>
    <mergeCell ref="C30:D30"/>
    <mergeCell ref="E30:F30"/>
    <mergeCell ref="A21:G21"/>
    <mergeCell ref="C27:D27"/>
    <mergeCell ref="E27:F27"/>
    <mergeCell ref="C28:D28"/>
    <mergeCell ref="E28:F28"/>
    <mergeCell ref="C29:D29"/>
    <mergeCell ref="E29:F29"/>
    <mergeCell ref="A3:C3"/>
    <mergeCell ref="V6:V7"/>
    <mergeCell ref="W6:W7"/>
    <mergeCell ref="X6:X7"/>
    <mergeCell ref="Y6:Y7"/>
  </mergeCells>
  <printOptions/>
  <pageMargins left="0.25" right="0.25" top="0.75" bottom="0.75" header="0.3" footer="0.3"/>
  <pageSetup fitToWidth="0" fitToHeight="1" horizontalDpi="1200" verticalDpi="1200" orientation="landscape" paperSize="9" scale="68" r:id="rId3"/>
  <rowBreaks count="1" manualBreakCount="1">
    <brk id="50" max="16383" man="1"/>
  </rowBreak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2289" r:id="rId4" name="Button 1">
              <controlPr defaultSize="0" print="0" autoFill="0" autoPict="0" macro="[4]!ThisWorkbook.Example2_Click" altText="Calculate">
                <anchor moveWithCells="1" sizeWithCells="1">
                  <from>
                    <xdr:col>36</xdr:col>
                    <xdr:colOff>247650</xdr:colOff>
                    <xdr:row>28</xdr:row>
                    <xdr:rowOff>142875</xdr:rowOff>
                  </from>
                  <to>
                    <xdr:col>40</xdr:col>
                    <xdr:colOff>47625</xdr:colOff>
                    <xdr:row>32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Ricouart</cp:lastModifiedBy>
  <cp:lastPrinted>2013-07-08T02:24:09Z</cp:lastPrinted>
  <dcterms:created xsi:type="dcterms:W3CDTF">2013-03-18T02:36:38Z</dcterms:created>
  <dcterms:modified xsi:type="dcterms:W3CDTF">2014-02-12T04:20:40Z</dcterms:modified>
  <cp:category/>
  <cp:version/>
  <cp:contentType/>
  <cp:contentStatus/>
</cp:coreProperties>
</file>